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rivate\lquinn\Old Dropbox Personal Folder\EW Stokes Notices to ANC and Public\EW Stokes Expansion (2017)\"/>
    </mc:Choice>
  </mc:AlternateContent>
  <workbookProtection workbookAlgorithmName="SHA-512" workbookHashValue="yE0HIPvz/fFQaSDhzBitCLALJMIPMxIYDPa24WdYm7dlTUMHXA7zt3IHbO1NIkVvwu+HFf5frPc/10buU5zWsA==" workbookSaltValue="eyqn2GfXYWGJEZnf7WTpcA==" workbookSpinCount="100000" lockStructure="1"/>
  <bookViews>
    <workbookView xWindow="-15" yWindow="3990" windowWidth="15330" windowHeight="4050" firstSheet="6" activeTab="6"/>
  </bookViews>
  <sheets>
    <sheet name="PPASY1918" sheetId="42" r:id="rId1"/>
    <sheet name="PPA SY2019" sheetId="43" r:id="rId2"/>
    <sheet name="PPA SY2120" sheetId="44" r:id="rId3"/>
    <sheet name="PPA SY22221" sheetId="45" r:id="rId4"/>
    <sheet name="PPASY2322" sheetId="46" r:id="rId5"/>
    <sheet name="PPASY2423" sheetId="49" r:id="rId6"/>
    <sheet name="6 Yr Epansion Budget" sheetId="21" r:id="rId7"/>
    <sheet name="Salary Payroll Budget" sheetId="40" r:id="rId8"/>
  </sheets>
  <externalReferences>
    <externalReference r:id="rId9"/>
    <externalReference r:id="rId10"/>
  </externalReferences>
  <definedNames>
    <definedName name="ActMap">#REF!</definedName>
    <definedName name="ActMap1">#REF!</definedName>
    <definedName name="bill1">#REF!</definedName>
    <definedName name="BudgetVersion">#REF!</definedName>
    <definedName name="budgetversion1">#REF!</definedName>
    <definedName name="BudgetYears">#REF!</definedName>
    <definedName name="CFT">#REF!</definedName>
    <definedName name="Classes">#REF!</definedName>
    <definedName name="ClassMap">#REF!</definedName>
    <definedName name="DefY1CF">#REF!</definedName>
    <definedName name="DefY2CF">#REF!</definedName>
    <definedName name="l">#REF!</definedName>
    <definedName name="Rent">'[1]Exp-Occ'!#REF!</definedName>
    <definedName name="rent1">'[1]Exp-Occ'!#REF!</definedName>
    <definedName name="rent15">'[1]Exp-Occ'!#REF!</definedName>
    <definedName name="rent2">'[1]Exp-Occ'!#REF!</definedName>
    <definedName name="SchoolName">#REF!</definedName>
    <definedName name="unknown">'[1]Exp-Occ'!#REF!</definedName>
    <definedName name="whatisthis">#REF!</definedName>
  </definedNames>
  <calcPr calcId="171026"/>
</workbook>
</file>

<file path=xl/calcChain.xml><?xml version="1.0" encoding="utf-8"?>
<calcChain xmlns="http://schemas.openxmlformats.org/spreadsheetml/2006/main">
  <c r="C23" i="42" l="1"/>
  <c r="C24" i="42"/>
  <c r="C25" i="42"/>
  <c r="C26" i="42"/>
  <c r="C27" i="42"/>
  <c r="C28" i="42"/>
  <c r="C29" i="42"/>
  <c r="C30" i="42"/>
  <c r="C31" i="42"/>
  <c r="C32" i="42"/>
  <c r="F4" i="21"/>
  <c r="I7" i="42"/>
  <c r="E6" i="42"/>
  <c r="I6" i="42"/>
  <c r="K121" i="21"/>
  <c r="J121" i="21"/>
  <c r="I121" i="21"/>
  <c r="H121" i="21"/>
  <c r="G121" i="21"/>
  <c r="F121" i="21"/>
  <c r="K101" i="21"/>
  <c r="J101" i="21"/>
  <c r="I101" i="21"/>
  <c r="H101" i="21"/>
  <c r="G101" i="21"/>
  <c r="F101" i="21"/>
  <c r="K55" i="21"/>
  <c r="K98" i="21"/>
  <c r="J55" i="21"/>
  <c r="J98" i="21"/>
  <c r="G55" i="21"/>
  <c r="G98" i="21"/>
  <c r="F55" i="21"/>
  <c r="F98" i="21"/>
  <c r="K67" i="21"/>
  <c r="J67" i="21"/>
  <c r="I67" i="21"/>
  <c r="H67" i="21"/>
  <c r="G67" i="21"/>
  <c r="F67" i="21"/>
  <c r="I55" i="21"/>
  <c r="I98" i="21"/>
  <c r="H55" i="21"/>
  <c r="H98" i="21"/>
  <c r="K83" i="21"/>
  <c r="J83" i="21"/>
  <c r="I83" i="21"/>
  <c r="H83" i="21"/>
  <c r="G83" i="21"/>
  <c r="F83" i="21"/>
  <c r="K56" i="21"/>
  <c r="J56" i="21"/>
  <c r="I56" i="21"/>
  <c r="H56" i="21"/>
  <c r="G56" i="21"/>
  <c r="F56" i="21"/>
  <c r="K53" i="21"/>
  <c r="J53" i="21"/>
  <c r="I53" i="21"/>
  <c r="H53" i="21"/>
  <c r="G53" i="21"/>
  <c r="K52" i="21"/>
  <c r="J52" i="21"/>
  <c r="I52" i="21"/>
  <c r="H52" i="21"/>
  <c r="G52" i="21"/>
  <c r="F53" i="21"/>
  <c r="F52" i="21"/>
  <c r="I81" i="21"/>
  <c r="I79" i="21"/>
  <c r="I75" i="21"/>
  <c r="F74" i="21"/>
  <c r="I61" i="21"/>
  <c r="I59" i="21"/>
  <c r="H57" i="21"/>
  <c r="K51" i="21"/>
  <c r="J51" i="21"/>
  <c r="I51" i="21"/>
  <c r="H51" i="21"/>
  <c r="G51" i="21"/>
  <c r="F51" i="21"/>
  <c r="K80" i="21"/>
  <c r="J80" i="21"/>
  <c r="I80" i="21"/>
  <c r="G80" i="21"/>
  <c r="F80" i="21"/>
  <c r="H74" i="21"/>
  <c r="G74" i="21"/>
  <c r="I66" i="21"/>
  <c r="F59" i="21"/>
  <c r="J59" i="21"/>
  <c r="H60" i="21"/>
  <c r="F61" i="21"/>
  <c r="J61" i="21"/>
  <c r="F66" i="21"/>
  <c r="F68" i="21"/>
  <c r="J66" i="21"/>
  <c r="J68" i="21"/>
  <c r="H69" i="21"/>
  <c r="F75" i="21"/>
  <c r="J75" i="21"/>
  <c r="H77" i="21"/>
  <c r="F79" i="21"/>
  <c r="J79" i="21"/>
  <c r="H80" i="21"/>
  <c r="F81" i="21"/>
  <c r="J81" i="21"/>
  <c r="K54" i="21"/>
  <c r="I54" i="21"/>
  <c r="I57" i="21"/>
  <c r="G59" i="21"/>
  <c r="K59" i="21"/>
  <c r="I60" i="21"/>
  <c r="G61" i="21"/>
  <c r="K61" i="21"/>
  <c r="G66" i="21"/>
  <c r="G68" i="21"/>
  <c r="I69" i="21"/>
  <c r="G75" i="21"/>
  <c r="K75" i="21"/>
  <c r="I77" i="21"/>
  <c r="G79" i="21"/>
  <c r="K79" i="21"/>
  <c r="G81" i="21"/>
  <c r="K81" i="21"/>
  <c r="G54" i="21"/>
  <c r="G60" i="21"/>
  <c r="H54" i="21"/>
  <c r="F54" i="21"/>
  <c r="J54" i="21"/>
  <c r="F57" i="21"/>
  <c r="J57" i="21"/>
  <c r="H59" i="21"/>
  <c r="F60" i="21"/>
  <c r="J60" i="21"/>
  <c r="H61" i="21"/>
  <c r="H66" i="21"/>
  <c r="F69" i="21"/>
  <c r="J69" i="21"/>
  <c r="H75" i="21"/>
  <c r="F77" i="21"/>
  <c r="J77" i="21"/>
  <c r="H79" i="21"/>
  <c r="H81" i="21"/>
  <c r="G57" i="21"/>
  <c r="K57" i="21"/>
  <c r="K60" i="21"/>
  <c r="G69" i="21"/>
  <c r="K69" i="21"/>
  <c r="G77" i="21"/>
  <c r="K77" i="21"/>
  <c r="I62" i="21"/>
  <c r="I63" i="21"/>
  <c r="I74" i="21"/>
  <c r="K74" i="21"/>
  <c r="J74" i="21"/>
  <c r="I68" i="21"/>
  <c r="K66" i="21"/>
  <c r="H68" i="21"/>
  <c r="J62" i="21"/>
  <c r="J63" i="21"/>
  <c r="J82" i="21"/>
  <c r="J84" i="21"/>
  <c r="G62" i="21"/>
  <c r="G63" i="21"/>
  <c r="G82" i="21"/>
  <c r="G84" i="21"/>
  <c r="G85" i="21"/>
  <c r="G86" i="21"/>
  <c r="H62" i="21"/>
  <c r="H63" i="21"/>
  <c r="H82" i="21"/>
  <c r="H84" i="21"/>
  <c r="K62" i="21"/>
  <c r="K63" i="21"/>
  <c r="K82" i="21"/>
  <c r="K84" i="21"/>
  <c r="F62" i="21"/>
  <c r="F63" i="21"/>
  <c r="F82" i="21"/>
  <c r="F84" i="21"/>
  <c r="F85" i="21"/>
  <c r="F86" i="21"/>
  <c r="I82" i="21"/>
  <c r="I84" i="21"/>
  <c r="J85" i="21"/>
  <c r="J86" i="21"/>
  <c r="H85" i="21"/>
  <c r="H86" i="21"/>
  <c r="I85" i="21"/>
  <c r="I86" i="21"/>
  <c r="K68" i="21"/>
  <c r="K85" i="21"/>
  <c r="K86" i="21"/>
  <c r="H53" i="40"/>
  <c r="H50" i="40"/>
  <c r="H49" i="40"/>
  <c r="G48" i="40"/>
  <c r="H48" i="40"/>
  <c r="G52" i="40"/>
  <c r="H52" i="40"/>
  <c r="D51" i="40"/>
  <c r="E51" i="40"/>
  <c r="F51" i="40"/>
  <c r="G51" i="40"/>
  <c r="H51" i="40"/>
  <c r="F47" i="40"/>
  <c r="G47" i="40"/>
  <c r="H47" i="40"/>
  <c r="E46" i="40"/>
  <c r="F46" i="40"/>
  <c r="G46" i="40"/>
  <c r="H46" i="40"/>
  <c r="F45" i="40"/>
  <c r="G45" i="40"/>
  <c r="H45" i="40"/>
  <c r="E44" i="40"/>
  <c r="F44" i="40"/>
  <c r="G44" i="40"/>
  <c r="H44" i="40"/>
  <c r="D43" i="40"/>
  <c r="E43" i="40"/>
  <c r="F43" i="40"/>
  <c r="G43" i="40"/>
  <c r="H43" i="40"/>
  <c r="H42" i="40"/>
  <c r="G42" i="40"/>
  <c r="F42" i="40"/>
  <c r="E42" i="40"/>
  <c r="D42" i="40"/>
  <c r="C42" i="40"/>
  <c r="D41" i="40"/>
  <c r="E41" i="40"/>
  <c r="F41" i="40"/>
  <c r="G41" i="40"/>
  <c r="H41" i="40"/>
  <c r="H36" i="40"/>
  <c r="H35" i="40"/>
  <c r="H34" i="40"/>
  <c r="H33" i="40"/>
  <c r="G32" i="40"/>
  <c r="H32" i="40"/>
  <c r="G31" i="40"/>
  <c r="H31" i="40"/>
  <c r="G30" i="40"/>
  <c r="H30" i="40"/>
  <c r="G29" i="40"/>
  <c r="H29" i="40"/>
  <c r="F28" i="40"/>
  <c r="G28" i="40"/>
  <c r="H28" i="40"/>
  <c r="F27" i="40"/>
  <c r="G27" i="40"/>
  <c r="H27" i="40"/>
  <c r="F26" i="40"/>
  <c r="G26" i="40"/>
  <c r="H26" i="40"/>
  <c r="F25" i="40"/>
  <c r="G25" i="40"/>
  <c r="H25" i="40"/>
  <c r="E24" i="40"/>
  <c r="F24" i="40"/>
  <c r="G24" i="40"/>
  <c r="H24" i="40"/>
  <c r="E23" i="40"/>
  <c r="F23" i="40"/>
  <c r="G23" i="40"/>
  <c r="H23" i="40"/>
  <c r="E22" i="40"/>
  <c r="F22" i="40"/>
  <c r="G22" i="40"/>
  <c r="H22" i="40"/>
  <c r="E21" i="40"/>
  <c r="F21" i="40"/>
  <c r="G21" i="40"/>
  <c r="G81" i="49"/>
  <c r="G80" i="49"/>
  <c r="G84" i="49"/>
  <c r="F75" i="49"/>
  <c r="C75" i="49"/>
  <c r="E75" i="49"/>
  <c r="G75" i="49"/>
  <c r="F74" i="49"/>
  <c r="C69" i="49"/>
  <c r="F68" i="49"/>
  <c r="G68" i="49"/>
  <c r="F67" i="49"/>
  <c r="G67" i="49"/>
  <c r="F66" i="49"/>
  <c r="G66" i="49"/>
  <c r="F65" i="49"/>
  <c r="G65" i="49"/>
  <c r="F62" i="49"/>
  <c r="G62" i="49"/>
  <c r="E62" i="49"/>
  <c r="F60" i="49"/>
  <c r="E60" i="49"/>
  <c r="F57" i="49"/>
  <c r="E57" i="49"/>
  <c r="G57" i="49"/>
  <c r="C54" i="49"/>
  <c r="F53" i="49"/>
  <c r="E53" i="49"/>
  <c r="G53" i="49"/>
  <c r="F52" i="49"/>
  <c r="E52" i="49"/>
  <c r="F51" i="49"/>
  <c r="E51" i="49"/>
  <c r="F50" i="49"/>
  <c r="E50" i="49"/>
  <c r="F47" i="49"/>
  <c r="E47" i="49"/>
  <c r="F43" i="49"/>
  <c r="F42" i="49"/>
  <c r="F44" i="49"/>
  <c r="F39" i="49"/>
  <c r="D39" i="49"/>
  <c r="D40" i="49"/>
  <c r="D42" i="49"/>
  <c r="D43" i="49"/>
  <c r="D44" i="49"/>
  <c r="C39" i="49"/>
  <c r="C42" i="49"/>
  <c r="F38" i="49"/>
  <c r="E38" i="49"/>
  <c r="F37" i="49"/>
  <c r="E37" i="49"/>
  <c r="F36" i="49"/>
  <c r="E36" i="49"/>
  <c r="F35" i="49"/>
  <c r="E35" i="49"/>
  <c r="D32" i="49"/>
  <c r="F31" i="49"/>
  <c r="C31" i="49"/>
  <c r="E31" i="49"/>
  <c r="F30" i="49"/>
  <c r="C30" i="49"/>
  <c r="E30" i="49"/>
  <c r="F29" i="49"/>
  <c r="C29" i="49"/>
  <c r="E29" i="49"/>
  <c r="F28" i="49"/>
  <c r="C28" i="49"/>
  <c r="E28" i="49"/>
  <c r="F27" i="49"/>
  <c r="C27" i="49"/>
  <c r="E27" i="49"/>
  <c r="F26" i="49"/>
  <c r="C26" i="49"/>
  <c r="E26" i="49"/>
  <c r="F25" i="49"/>
  <c r="C25" i="49"/>
  <c r="E25" i="49"/>
  <c r="G25" i="49"/>
  <c r="F24" i="49"/>
  <c r="C24" i="49"/>
  <c r="E24" i="49"/>
  <c r="F23" i="49"/>
  <c r="C23" i="49"/>
  <c r="E23" i="49"/>
  <c r="G23" i="49"/>
  <c r="F22" i="49"/>
  <c r="E22" i="49"/>
  <c r="G22" i="49"/>
  <c r="F21" i="49"/>
  <c r="E21" i="49"/>
  <c r="F20" i="49"/>
  <c r="E20" i="49"/>
  <c r="F19" i="49"/>
  <c r="E19" i="49"/>
  <c r="F18" i="49"/>
  <c r="E18" i="49"/>
  <c r="F17" i="49"/>
  <c r="E17" i="49"/>
  <c r="F16" i="49"/>
  <c r="E16" i="49"/>
  <c r="F15" i="49"/>
  <c r="E15" i="49"/>
  <c r="F14" i="49"/>
  <c r="E14" i="49"/>
  <c r="K28" i="21"/>
  <c r="K114" i="21"/>
  <c r="J28" i="21"/>
  <c r="J114" i="21"/>
  <c r="I28" i="21"/>
  <c r="I114" i="21"/>
  <c r="H28" i="21"/>
  <c r="H114" i="21"/>
  <c r="G28" i="21"/>
  <c r="G114" i="21"/>
  <c r="F28" i="21"/>
  <c r="F114" i="21"/>
  <c r="D59" i="40"/>
  <c r="E59" i="40"/>
  <c r="F59" i="40"/>
  <c r="G59" i="40"/>
  <c r="H59" i="40"/>
  <c r="D57" i="40"/>
  <c r="E57" i="40"/>
  <c r="F57" i="40"/>
  <c r="G57" i="40"/>
  <c r="H57" i="40"/>
  <c r="D20" i="40"/>
  <c r="E20" i="40"/>
  <c r="F20" i="40"/>
  <c r="G20" i="40"/>
  <c r="H20" i="40"/>
  <c r="D19" i="40"/>
  <c r="E19" i="40"/>
  <c r="F19" i="40"/>
  <c r="G19" i="40"/>
  <c r="H19" i="40"/>
  <c r="D18" i="40"/>
  <c r="E18" i="40"/>
  <c r="F18" i="40"/>
  <c r="G18" i="40"/>
  <c r="H18" i="40"/>
  <c r="D17" i="40"/>
  <c r="E17" i="40"/>
  <c r="F17" i="40"/>
  <c r="G17" i="40"/>
  <c r="H17" i="40"/>
  <c r="D16" i="40"/>
  <c r="E16" i="40"/>
  <c r="F16" i="40"/>
  <c r="G16" i="40"/>
  <c r="H16" i="40"/>
  <c r="D15" i="40"/>
  <c r="E15" i="40"/>
  <c r="F15" i="40"/>
  <c r="G15" i="40"/>
  <c r="H15" i="40"/>
  <c r="D14" i="40"/>
  <c r="E14" i="40"/>
  <c r="F14" i="40"/>
  <c r="G14" i="40"/>
  <c r="H14" i="40"/>
  <c r="D13" i="40"/>
  <c r="E13" i="40"/>
  <c r="F13" i="40"/>
  <c r="G13" i="40"/>
  <c r="H13" i="40"/>
  <c r="D12" i="40"/>
  <c r="E12" i="40"/>
  <c r="F12" i="40"/>
  <c r="G12" i="40"/>
  <c r="H12" i="40"/>
  <c r="D11" i="40"/>
  <c r="E11" i="40"/>
  <c r="F11" i="40"/>
  <c r="G11" i="40"/>
  <c r="H11" i="40"/>
  <c r="D10" i="40"/>
  <c r="E10" i="40"/>
  <c r="F10" i="40"/>
  <c r="G10" i="40"/>
  <c r="H10" i="40"/>
  <c r="D9" i="40"/>
  <c r="E9" i="40"/>
  <c r="F9" i="40"/>
  <c r="G9" i="40"/>
  <c r="H9" i="40"/>
  <c r="D8" i="40"/>
  <c r="E8" i="40"/>
  <c r="F8" i="40"/>
  <c r="G8" i="40"/>
  <c r="H8" i="40"/>
  <c r="D7" i="40"/>
  <c r="E7" i="40"/>
  <c r="F7" i="40"/>
  <c r="G7" i="40"/>
  <c r="H7" i="40"/>
  <c r="D6" i="40"/>
  <c r="D5" i="40"/>
  <c r="E5" i="40"/>
  <c r="F5" i="40"/>
  <c r="G5" i="40"/>
  <c r="H5" i="40"/>
  <c r="F26" i="21"/>
  <c r="F112" i="21"/>
  <c r="K30" i="21"/>
  <c r="K116" i="21"/>
  <c r="J30" i="21"/>
  <c r="J116" i="21"/>
  <c r="I30" i="21"/>
  <c r="I116" i="21"/>
  <c r="H30" i="21"/>
  <c r="H116" i="21"/>
  <c r="G30" i="21"/>
  <c r="G116" i="21"/>
  <c r="K29" i="21"/>
  <c r="K115" i="21"/>
  <c r="J29" i="21"/>
  <c r="J115" i="21"/>
  <c r="I29" i="21"/>
  <c r="H29" i="21"/>
  <c r="H115" i="21"/>
  <c r="G29" i="21"/>
  <c r="G115" i="21"/>
  <c r="F30" i="21"/>
  <c r="F116" i="21"/>
  <c r="F29" i="21"/>
  <c r="F115" i="21"/>
  <c r="G14" i="49"/>
  <c r="I31" i="21"/>
  <c r="I117" i="21"/>
  <c r="I115" i="21"/>
  <c r="E42" i="49"/>
  <c r="G42" i="49"/>
  <c r="G38" i="49"/>
  <c r="G51" i="49"/>
  <c r="G27" i="49"/>
  <c r="G29" i="49"/>
  <c r="G31" i="49"/>
  <c r="G37" i="49"/>
  <c r="G50" i="49"/>
  <c r="F9" i="21"/>
  <c r="F95" i="21"/>
  <c r="F10" i="21"/>
  <c r="F96" i="21"/>
  <c r="F16" i="21"/>
  <c r="F102" i="21"/>
  <c r="F17" i="21"/>
  <c r="F103" i="21"/>
  <c r="F37" i="21"/>
  <c r="F123" i="21"/>
  <c r="F11" i="21"/>
  <c r="F97" i="21"/>
  <c r="G16" i="49"/>
  <c r="G18" i="49"/>
  <c r="G20" i="49"/>
  <c r="G36" i="49"/>
  <c r="G15" i="49"/>
  <c r="G19" i="49"/>
  <c r="G35" i="49"/>
  <c r="G60" i="49"/>
  <c r="G52" i="49"/>
  <c r="G54" i="49"/>
  <c r="G69" i="49"/>
  <c r="G24" i="49"/>
  <c r="G26" i="49"/>
  <c r="G28" i="49"/>
  <c r="G30" i="49"/>
  <c r="G47" i="49"/>
  <c r="F32" i="21"/>
  <c r="F118" i="21"/>
  <c r="F40" i="21"/>
  <c r="F126" i="21"/>
  <c r="F34" i="21"/>
  <c r="F120" i="21"/>
  <c r="D61" i="40"/>
  <c r="G22" i="21"/>
  <c r="F13" i="21"/>
  <c r="F99" i="21"/>
  <c r="H31" i="21"/>
  <c r="H117" i="21"/>
  <c r="J31" i="21"/>
  <c r="J117" i="21"/>
  <c r="F38" i="21"/>
  <c r="F124" i="21"/>
  <c r="F14" i="21"/>
  <c r="F100" i="21"/>
  <c r="F36" i="21"/>
  <c r="F122" i="21"/>
  <c r="E6" i="40"/>
  <c r="F6" i="40"/>
  <c r="G6" i="40"/>
  <c r="H6" i="40"/>
  <c r="H21" i="40"/>
  <c r="F61" i="40"/>
  <c r="I22" i="21"/>
  <c r="G21" i="49"/>
  <c r="G17" i="49"/>
  <c r="E32" i="49"/>
  <c r="E40" i="49"/>
  <c r="E39" i="49"/>
  <c r="G39" i="49"/>
  <c r="C43" i="49"/>
  <c r="E54" i="49"/>
  <c r="C32" i="49"/>
  <c r="C40" i="49"/>
  <c r="F18" i="21"/>
  <c r="F104" i="21"/>
  <c r="G31" i="21"/>
  <c r="G117" i="21"/>
  <c r="K31" i="21"/>
  <c r="K117" i="21"/>
  <c r="G32" i="49"/>
  <c r="I24" i="21"/>
  <c r="I110" i="21"/>
  <c r="I108" i="21"/>
  <c r="G24" i="21"/>
  <c r="G110" i="21"/>
  <c r="G108" i="21"/>
  <c r="G40" i="49"/>
  <c r="G23" i="21"/>
  <c r="G61" i="40"/>
  <c r="J22" i="21"/>
  <c r="H61" i="40"/>
  <c r="K22" i="21"/>
  <c r="E61" i="40"/>
  <c r="H22" i="21"/>
  <c r="H108" i="21"/>
  <c r="I23" i="21"/>
  <c r="C74" i="49"/>
  <c r="E74" i="49"/>
  <c r="K4" i="21"/>
  <c r="E43" i="49"/>
  <c r="G43" i="49"/>
  <c r="G44" i="49"/>
  <c r="C44" i="49"/>
  <c r="G74" i="49"/>
  <c r="G76" i="49"/>
  <c r="K7" i="21"/>
  <c r="K93" i="21"/>
  <c r="G71" i="49"/>
  <c r="K23" i="21"/>
  <c r="K109" i="21"/>
  <c r="K108" i="21"/>
  <c r="J24" i="21"/>
  <c r="J110" i="21"/>
  <c r="J108" i="21"/>
  <c r="I25" i="21"/>
  <c r="I111" i="21"/>
  <c r="I109" i="21"/>
  <c r="G25" i="21"/>
  <c r="G111" i="21"/>
  <c r="G109" i="21"/>
  <c r="K11" i="21"/>
  <c r="K97" i="21"/>
  <c r="K10" i="21"/>
  <c r="K96" i="21"/>
  <c r="K17" i="21"/>
  <c r="K103" i="21"/>
  <c r="K9" i="21"/>
  <c r="K95" i="21"/>
  <c r="K16" i="21"/>
  <c r="K102" i="21"/>
  <c r="K38" i="21"/>
  <c r="K124" i="21"/>
  <c r="K34" i="21"/>
  <c r="K120" i="21"/>
  <c r="K13" i="21"/>
  <c r="K99" i="21"/>
  <c r="K36" i="21"/>
  <c r="K122" i="21"/>
  <c r="K14" i="21"/>
  <c r="K100" i="21"/>
  <c r="K24" i="21"/>
  <c r="H23" i="21"/>
  <c r="H109" i="21"/>
  <c r="H24" i="21"/>
  <c r="H110" i="21"/>
  <c r="J23" i="21"/>
  <c r="K32" i="21"/>
  <c r="K118" i="21"/>
  <c r="K40" i="21"/>
  <c r="K126" i="21"/>
  <c r="K37" i="21"/>
  <c r="K123" i="21"/>
  <c r="K26" i="21"/>
  <c r="K112" i="21"/>
  <c r="K18" i="21"/>
  <c r="K104" i="21"/>
  <c r="G78" i="49"/>
  <c r="K6" i="21"/>
  <c r="K8" i="21"/>
  <c r="K19" i="21"/>
  <c r="K20" i="21"/>
  <c r="K39" i="21"/>
  <c r="K92" i="21"/>
  <c r="K94" i="21"/>
  <c r="K105" i="21"/>
  <c r="K106" i="21"/>
  <c r="K25" i="21"/>
  <c r="K111" i="21"/>
  <c r="K110" i="21"/>
  <c r="J25" i="21"/>
  <c r="J111" i="21"/>
  <c r="J109" i="21"/>
  <c r="H25" i="21"/>
  <c r="H111" i="21"/>
  <c r="K41" i="21"/>
  <c r="K42" i="21"/>
  <c r="K43" i="21"/>
  <c r="K125" i="21"/>
  <c r="K127" i="21"/>
  <c r="K128" i="21"/>
  <c r="K129" i="21"/>
  <c r="G81" i="46"/>
  <c r="G80" i="46"/>
  <c r="G84" i="46"/>
  <c r="F75" i="46"/>
  <c r="C75" i="46"/>
  <c r="E75" i="46"/>
  <c r="G75" i="46"/>
  <c r="F74" i="46"/>
  <c r="C69" i="46"/>
  <c r="F68" i="46"/>
  <c r="G68" i="46"/>
  <c r="F67" i="46"/>
  <c r="G67" i="46"/>
  <c r="F66" i="46"/>
  <c r="G66" i="46"/>
  <c r="F65" i="46"/>
  <c r="G65" i="46"/>
  <c r="F62" i="46"/>
  <c r="G62" i="46"/>
  <c r="E62" i="46"/>
  <c r="F60" i="46"/>
  <c r="E60" i="46"/>
  <c r="E57" i="46"/>
  <c r="F57" i="46"/>
  <c r="G57" i="46"/>
  <c r="C54" i="46"/>
  <c r="F53" i="46"/>
  <c r="E53" i="46"/>
  <c r="F52" i="46"/>
  <c r="E52" i="46"/>
  <c r="E51" i="46"/>
  <c r="F51" i="46"/>
  <c r="G51" i="46"/>
  <c r="F50" i="46"/>
  <c r="E50" i="46"/>
  <c r="F47" i="46"/>
  <c r="E47" i="46"/>
  <c r="F43" i="46"/>
  <c r="F42" i="46"/>
  <c r="C39" i="46"/>
  <c r="C40" i="46"/>
  <c r="F39" i="46"/>
  <c r="D39" i="46"/>
  <c r="D40" i="46"/>
  <c r="D42" i="46"/>
  <c r="C43" i="46"/>
  <c r="F38" i="46"/>
  <c r="E38" i="46"/>
  <c r="G38" i="46"/>
  <c r="F37" i="46"/>
  <c r="E37" i="46"/>
  <c r="G37" i="46"/>
  <c r="F36" i="46"/>
  <c r="E36" i="46"/>
  <c r="F35" i="46"/>
  <c r="E35" i="46"/>
  <c r="D32" i="46"/>
  <c r="F31" i="46"/>
  <c r="C31" i="46"/>
  <c r="E31" i="46"/>
  <c r="F30" i="46"/>
  <c r="C30" i="46"/>
  <c r="E30" i="46"/>
  <c r="F29" i="46"/>
  <c r="C29" i="46"/>
  <c r="E29" i="46"/>
  <c r="F28" i="46"/>
  <c r="C28" i="46"/>
  <c r="E28" i="46"/>
  <c r="F27" i="46"/>
  <c r="C27" i="46"/>
  <c r="E27" i="46"/>
  <c r="F26" i="46"/>
  <c r="C26" i="46"/>
  <c r="E26" i="46"/>
  <c r="F25" i="46"/>
  <c r="C25" i="46"/>
  <c r="E25" i="46"/>
  <c r="F24" i="46"/>
  <c r="C24" i="46"/>
  <c r="E24" i="46"/>
  <c r="F23" i="46"/>
  <c r="C23" i="46"/>
  <c r="E23" i="46"/>
  <c r="F22" i="46"/>
  <c r="E22" i="46"/>
  <c r="G22" i="46"/>
  <c r="F21" i="46"/>
  <c r="E21" i="46"/>
  <c r="F20" i="46"/>
  <c r="E20" i="46"/>
  <c r="F19" i="46"/>
  <c r="E19" i="46"/>
  <c r="F18" i="46"/>
  <c r="E18" i="46"/>
  <c r="F17" i="46"/>
  <c r="E17" i="46"/>
  <c r="F16" i="46"/>
  <c r="E16" i="46"/>
  <c r="F15" i="46"/>
  <c r="E15" i="46"/>
  <c r="F14" i="46"/>
  <c r="E14" i="46"/>
  <c r="G81" i="45"/>
  <c r="G80" i="45"/>
  <c r="G84" i="45"/>
  <c r="F75" i="45"/>
  <c r="C75" i="45"/>
  <c r="E75" i="45"/>
  <c r="G75" i="45"/>
  <c r="F74" i="45"/>
  <c r="C69" i="45"/>
  <c r="F68" i="45"/>
  <c r="G68" i="45"/>
  <c r="F67" i="45"/>
  <c r="G67" i="45"/>
  <c r="F66" i="45"/>
  <c r="G66" i="45"/>
  <c r="F65" i="45"/>
  <c r="G65" i="45"/>
  <c r="F62" i="45"/>
  <c r="G62" i="45"/>
  <c r="E62" i="45"/>
  <c r="F60" i="45"/>
  <c r="E60" i="45"/>
  <c r="F57" i="45"/>
  <c r="E57" i="45"/>
  <c r="G57" i="45"/>
  <c r="C54" i="45"/>
  <c r="F53" i="45"/>
  <c r="E53" i="45"/>
  <c r="F52" i="45"/>
  <c r="E52" i="45"/>
  <c r="F51" i="45"/>
  <c r="E51" i="45"/>
  <c r="F50" i="45"/>
  <c r="E50" i="45"/>
  <c r="F47" i="45"/>
  <c r="E47" i="45"/>
  <c r="F43" i="45"/>
  <c r="F42" i="45"/>
  <c r="C39" i="45"/>
  <c r="C40" i="45"/>
  <c r="F39" i="45"/>
  <c r="D39" i="45"/>
  <c r="D40" i="45"/>
  <c r="D42" i="45"/>
  <c r="C43" i="45"/>
  <c r="F38" i="45"/>
  <c r="E38" i="45"/>
  <c r="G38" i="45"/>
  <c r="F37" i="45"/>
  <c r="E37" i="45"/>
  <c r="G37" i="45"/>
  <c r="F36" i="45"/>
  <c r="E36" i="45"/>
  <c r="F35" i="45"/>
  <c r="E35" i="45"/>
  <c r="D32" i="45"/>
  <c r="F31" i="45"/>
  <c r="C31" i="45"/>
  <c r="E31" i="45"/>
  <c r="F30" i="45"/>
  <c r="C30" i="45"/>
  <c r="E30" i="45"/>
  <c r="F29" i="45"/>
  <c r="C29" i="45"/>
  <c r="E29" i="45"/>
  <c r="F28" i="45"/>
  <c r="C28" i="45"/>
  <c r="E28" i="45"/>
  <c r="F27" i="45"/>
  <c r="C27" i="45"/>
  <c r="E27" i="45"/>
  <c r="F26" i="45"/>
  <c r="C26" i="45"/>
  <c r="E26" i="45"/>
  <c r="F25" i="45"/>
  <c r="C25" i="45"/>
  <c r="E25" i="45"/>
  <c r="F24" i="45"/>
  <c r="C24" i="45"/>
  <c r="E24" i="45"/>
  <c r="F23" i="45"/>
  <c r="C23" i="45"/>
  <c r="E23" i="45"/>
  <c r="F22" i="45"/>
  <c r="E22" i="45"/>
  <c r="G22" i="45"/>
  <c r="F21" i="45"/>
  <c r="E21" i="45"/>
  <c r="G21" i="45"/>
  <c r="F20" i="45"/>
  <c r="E20" i="45"/>
  <c r="F19" i="45"/>
  <c r="E19" i="45"/>
  <c r="F18" i="45"/>
  <c r="E18" i="45"/>
  <c r="F17" i="45"/>
  <c r="E17" i="45"/>
  <c r="F16" i="45"/>
  <c r="E16" i="45"/>
  <c r="F15" i="45"/>
  <c r="E15" i="45"/>
  <c r="F14" i="45"/>
  <c r="E14" i="45"/>
  <c r="G81" i="44"/>
  <c r="G80" i="44"/>
  <c r="G84" i="44"/>
  <c r="F75" i="44"/>
  <c r="C75" i="44"/>
  <c r="E75" i="44"/>
  <c r="G75" i="44"/>
  <c r="F74" i="44"/>
  <c r="C69" i="44"/>
  <c r="F68" i="44"/>
  <c r="G68" i="44"/>
  <c r="F67" i="44"/>
  <c r="G67" i="44"/>
  <c r="F66" i="44"/>
  <c r="G66" i="44"/>
  <c r="F65" i="44"/>
  <c r="G65" i="44"/>
  <c r="F62" i="44"/>
  <c r="G62" i="44"/>
  <c r="E62" i="44"/>
  <c r="F60" i="44"/>
  <c r="E60" i="44"/>
  <c r="E57" i="44"/>
  <c r="F57" i="44"/>
  <c r="G57" i="44"/>
  <c r="C54" i="44"/>
  <c r="F53" i="44"/>
  <c r="E53" i="44"/>
  <c r="F52" i="44"/>
  <c r="E52" i="44"/>
  <c r="E51" i="44"/>
  <c r="F51" i="44"/>
  <c r="G51" i="44"/>
  <c r="F50" i="44"/>
  <c r="E50" i="44"/>
  <c r="F47" i="44"/>
  <c r="E47" i="44"/>
  <c r="F43" i="44"/>
  <c r="F42" i="44"/>
  <c r="F39" i="44"/>
  <c r="D39" i="44"/>
  <c r="D40" i="44"/>
  <c r="D42" i="44"/>
  <c r="D43" i="44"/>
  <c r="D44" i="44"/>
  <c r="C39" i="44"/>
  <c r="C42" i="44"/>
  <c r="F38" i="44"/>
  <c r="E38" i="44"/>
  <c r="F37" i="44"/>
  <c r="E37" i="44"/>
  <c r="F36" i="44"/>
  <c r="E36" i="44"/>
  <c r="F35" i="44"/>
  <c r="E35" i="44"/>
  <c r="D32" i="44"/>
  <c r="F31" i="44"/>
  <c r="C31" i="44"/>
  <c r="E31" i="44"/>
  <c r="F30" i="44"/>
  <c r="C30" i="44"/>
  <c r="E30" i="44"/>
  <c r="F29" i="44"/>
  <c r="C29" i="44"/>
  <c r="E29" i="44"/>
  <c r="F28" i="44"/>
  <c r="C28" i="44"/>
  <c r="E28" i="44"/>
  <c r="F27" i="44"/>
  <c r="C27" i="44"/>
  <c r="E27" i="44"/>
  <c r="F26" i="44"/>
  <c r="C26" i="44"/>
  <c r="E26" i="44"/>
  <c r="F25" i="44"/>
  <c r="C25" i="44"/>
  <c r="E25" i="44"/>
  <c r="F24" i="44"/>
  <c r="C24" i="44"/>
  <c r="E24" i="44"/>
  <c r="F23" i="44"/>
  <c r="C23" i="44"/>
  <c r="E23" i="44"/>
  <c r="F22" i="44"/>
  <c r="E22" i="44"/>
  <c r="G22" i="44"/>
  <c r="F21" i="44"/>
  <c r="E21" i="44"/>
  <c r="G21" i="44"/>
  <c r="F20" i="44"/>
  <c r="E20" i="44"/>
  <c r="F19" i="44"/>
  <c r="E19" i="44"/>
  <c r="F18" i="44"/>
  <c r="E18" i="44"/>
  <c r="F17" i="44"/>
  <c r="E17" i="44"/>
  <c r="F16" i="44"/>
  <c r="E16" i="44"/>
  <c r="F15" i="44"/>
  <c r="E15" i="44"/>
  <c r="F14" i="44"/>
  <c r="E14" i="44"/>
  <c r="G14" i="44"/>
  <c r="G81" i="43"/>
  <c r="G80" i="43"/>
  <c r="G84" i="43"/>
  <c r="F75" i="43"/>
  <c r="C75" i="43"/>
  <c r="E75" i="43"/>
  <c r="G75" i="43"/>
  <c r="F74" i="43"/>
  <c r="C69" i="43"/>
  <c r="F68" i="43"/>
  <c r="G68" i="43"/>
  <c r="F67" i="43"/>
  <c r="G67" i="43"/>
  <c r="F66" i="43"/>
  <c r="G66" i="43"/>
  <c r="F65" i="43"/>
  <c r="G65" i="43"/>
  <c r="F62" i="43"/>
  <c r="G62" i="43"/>
  <c r="E62" i="43"/>
  <c r="F60" i="43"/>
  <c r="E60" i="43"/>
  <c r="F57" i="43"/>
  <c r="E57" i="43"/>
  <c r="C54" i="43"/>
  <c r="F53" i="43"/>
  <c r="E53" i="43"/>
  <c r="F52" i="43"/>
  <c r="E52" i="43"/>
  <c r="F51" i="43"/>
  <c r="E51" i="43"/>
  <c r="F50" i="43"/>
  <c r="E50" i="43"/>
  <c r="F47" i="43"/>
  <c r="E47" i="43"/>
  <c r="G47" i="43"/>
  <c r="F43" i="43"/>
  <c r="F42" i="43"/>
  <c r="F39" i="43"/>
  <c r="D39" i="43"/>
  <c r="D40" i="43"/>
  <c r="D42" i="43"/>
  <c r="D43" i="43"/>
  <c r="D44" i="43"/>
  <c r="C39" i="43"/>
  <c r="C42" i="43"/>
  <c r="F38" i="43"/>
  <c r="E38" i="43"/>
  <c r="F37" i="43"/>
  <c r="E37" i="43"/>
  <c r="F36" i="43"/>
  <c r="E36" i="43"/>
  <c r="F35" i="43"/>
  <c r="E35" i="43"/>
  <c r="E40" i="43"/>
  <c r="D32" i="43"/>
  <c r="F31" i="43"/>
  <c r="C31" i="43"/>
  <c r="E31" i="43"/>
  <c r="F30" i="43"/>
  <c r="C30" i="43"/>
  <c r="E30" i="43"/>
  <c r="F29" i="43"/>
  <c r="C29" i="43"/>
  <c r="E29" i="43"/>
  <c r="F28" i="43"/>
  <c r="C28" i="43"/>
  <c r="E28" i="43"/>
  <c r="F27" i="43"/>
  <c r="C27" i="43"/>
  <c r="E27" i="43"/>
  <c r="F26" i="43"/>
  <c r="C26" i="43"/>
  <c r="E26" i="43"/>
  <c r="F25" i="43"/>
  <c r="C25" i="43"/>
  <c r="E25" i="43"/>
  <c r="F24" i="43"/>
  <c r="C24" i="43"/>
  <c r="E24" i="43"/>
  <c r="F23" i="43"/>
  <c r="C23" i="43"/>
  <c r="E23" i="43"/>
  <c r="F22" i="43"/>
  <c r="E22" i="43"/>
  <c r="F21" i="43"/>
  <c r="E21" i="43"/>
  <c r="G21" i="43"/>
  <c r="F20" i="43"/>
  <c r="E20" i="43"/>
  <c r="G20" i="43"/>
  <c r="F19" i="43"/>
  <c r="E19" i="43"/>
  <c r="G19" i="43"/>
  <c r="F18" i="43"/>
  <c r="E18" i="43"/>
  <c r="F17" i="43"/>
  <c r="E17" i="43"/>
  <c r="G17" i="43"/>
  <c r="F16" i="43"/>
  <c r="E16" i="43"/>
  <c r="F15" i="43"/>
  <c r="E15" i="43"/>
  <c r="G15" i="43"/>
  <c r="F14" i="43"/>
  <c r="E14" i="43"/>
  <c r="G17" i="46"/>
  <c r="G18" i="44"/>
  <c r="G16" i="43"/>
  <c r="G28" i="46"/>
  <c r="G28" i="43"/>
  <c r="G30" i="43"/>
  <c r="G36" i="43"/>
  <c r="F44" i="43"/>
  <c r="E54" i="43"/>
  <c r="G53" i="43"/>
  <c r="G38" i="44"/>
  <c r="G23" i="45"/>
  <c r="G27" i="45"/>
  <c r="G31" i="45"/>
  <c r="E40" i="45"/>
  <c r="F44" i="45"/>
  <c r="G50" i="45"/>
  <c r="C32" i="46"/>
  <c r="J4" i="21"/>
  <c r="G25" i="46"/>
  <c r="G29" i="46"/>
  <c r="C42" i="46"/>
  <c r="E42" i="44"/>
  <c r="G42" i="44"/>
  <c r="G37" i="43"/>
  <c r="G50" i="43"/>
  <c r="G37" i="44"/>
  <c r="G50" i="44"/>
  <c r="C32" i="45"/>
  <c r="C74" i="45"/>
  <c r="G74" i="45"/>
  <c r="G76" i="45"/>
  <c r="I7" i="21"/>
  <c r="I93" i="21"/>
  <c r="G25" i="45"/>
  <c r="G29" i="45"/>
  <c r="C42" i="45"/>
  <c r="E42" i="45"/>
  <c r="G42" i="45"/>
  <c r="G51" i="45"/>
  <c r="G23" i="46"/>
  <c r="G27" i="46"/>
  <c r="G31" i="46"/>
  <c r="G50" i="46"/>
  <c r="G26" i="45"/>
  <c r="G30" i="45"/>
  <c r="G24" i="46"/>
  <c r="G24" i="45"/>
  <c r="G28" i="45"/>
  <c r="G26" i="46"/>
  <c r="G30" i="46"/>
  <c r="G15" i="46"/>
  <c r="G19" i="46"/>
  <c r="G36" i="46"/>
  <c r="G52" i="46"/>
  <c r="G53" i="46"/>
  <c r="G54" i="46"/>
  <c r="G60" i="46"/>
  <c r="G69" i="46"/>
  <c r="G52" i="45"/>
  <c r="G60" i="45"/>
  <c r="G20" i="44"/>
  <c r="G36" i="44"/>
  <c r="G52" i="44"/>
  <c r="G60" i="44"/>
  <c r="G69" i="44"/>
  <c r="G22" i="43"/>
  <c r="G24" i="43"/>
  <c r="G26" i="43"/>
  <c r="G38" i="43"/>
  <c r="G51" i="43"/>
  <c r="G14" i="43"/>
  <c r="G18" i="43"/>
  <c r="G57" i="43"/>
  <c r="G16" i="46"/>
  <c r="G18" i="46"/>
  <c r="G20" i="46"/>
  <c r="G35" i="46"/>
  <c r="G47" i="46"/>
  <c r="F44" i="46"/>
  <c r="G69" i="45"/>
  <c r="G16" i="45"/>
  <c r="G18" i="45"/>
  <c r="G20" i="45"/>
  <c r="G35" i="45"/>
  <c r="G47" i="45"/>
  <c r="G53" i="45"/>
  <c r="G15" i="45"/>
  <c r="G19" i="45"/>
  <c r="G15" i="44"/>
  <c r="G24" i="44"/>
  <c r="G26" i="44"/>
  <c r="G28" i="44"/>
  <c r="G30" i="44"/>
  <c r="G47" i="44"/>
  <c r="G19" i="44"/>
  <c r="G35" i="44"/>
  <c r="G53" i="44"/>
  <c r="G16" i="44"/>
  <c r="G23" i="44"/>
  <c r="G25" i="44"/>
  <c r="G27" i="44"/>
  <c r="G29" i="44"/>
  <c r="G31" i="44"/>
  <c r="F44" i="44"/>
  <c r="G23" i="43"/>
  <c r="G25" i="43"/>
  <c r="G27" i="43"/>
  <c r="G29" i="43"/>
  <c r="G31" i="43"/>
  <c r="G52" i="43"/>
  <c r="G60" i="43"/>
  <c r="G21" i="46"/>
  <c r="E32" i="46"/>
  <c r="G14" i="46"/>
  <c r="E32" i="45"/>
  <c r="G17" i="45"/>
  <c r="G14" i="45"/>
  <c r="G17" i="44"/>
  <c r="C44" i="46"/>
  <c r="D43" i="46"/>
  <c r="D44" i="46"/>
  <c r="E42" i="46"/>
  <c r="G42" i="46"/>
  <c r="E39" i="46"/>
  <c r="G39" i="46"/>
  <c r="E40" i="46"/>
  <c r="E54" i="46"/>
  <c r="D43" i="45"/>
  <c r="E43" i="45"/>
  <c r="G43" i="45"/>
  <c r="C44" i="45"/>
  <c r="D44" i="45"/>
  <c r="G54" i="45"/>
  <c r="G36" i="45"/>
  <c r="E39" i="45"/>
  <c r="G39" i="45"/>
  <c r="E54" i="45"/>
  <c r="E32" i="44"/>
  <c r="E40" i="44"/>
  <c r="E54" i="44"/>
  <c r="E39" i="44"/>
  <c r="G39" i="44"/>
  <c r="C43" i="44"/>
  <c r="C32" i="44"/>
  <c r="C40" i="44"/>
  <c r="G69" i="43"/>
  <c r="E42" i="43"/>
  <c r="G42" i="43"/>
  <c r="E39" i="43"/>
  <c r="G39" i="43"/>
  <c r="C43" i="43"/>
  <c r="C32" i="43"/>
  <c r="C40" i="43"/>
  <c r="E32" i="43"/>
  <c r="G35" i="43"/>
  <c r="F31" i="21"/>
  <c r="F117" i="21"/>
  <c r="C74" i="46"/>
  <c r="G74" i="46"/>
  <c r="G76" i="46"/>
  <c r="J7" i="21"/>
  <c r="J93" i="21"/>
  <c r="I4" i="21"/>
  <c r="I11" i="21"/>
  <c r="I97" i="21"/>
  <c r="C74" i="43"/>
  <c r="G74" i="43"/>
  <c r="G76" i="43"/>
  <c r="G7" i="21"/>
  <c r="G93" i="21"/>
  <c r="G4" i="21"/>
  <c r="G40" i="43"/>
  <c r="G54" i="43"/>
  <c r="G32" i="43"/>
  <c r="G54" i="44"/>
  <c r="I9" i="21"/>
  <c r="I95" i="21"/>
  <c r="I17" i="21"/>
  <c r="I103" i="21"/>
  <c r="J11" i="21"/>
  <c r="J97" i="21"/>
  <c r="J10" i="21"/>
  <c r="J96" i="21"/>
  <c r="J16" i="21"/>
  <c r="J102" i="21"/>
  <c r="J9" i="21"/>
  <c r="J95" i="21"/>
  <c r="J17" i="21"/>
  <c r="J103" i="21"/>
  <c r="G40" i="46"/>
  <c r="G40" i="45"/>
  <c r="G32" i="45"/>
  <c r="G32" i="44"/>
  <c r="G40" i="44"/>
  <c r="I36" i="21"/>
  <c r="I122" i="21"/>
  <c r="I14" i="21"/>
  <c r="I100" i="21"/>
  <c r="I38" i="21"/>
  <c r="I124" i="21"/>
  <c r="I34" i="21"/>
  <c r="I120" i="21"/>
  <c r="I13" i="21"/>
  <c r="I99" i="21"/>
  <c r="J36" i="21"/>
  <c r="J122" i="21"/>
  <c r="J14" i="21"/>
  <c r="J100" i="21"/>
  <c r="J13" i="21"/>
  <c r="J99" i="21"/>
  <c r="J38" i="21"/>
  <c r="J124" i="21"/>
  <c r="J34" i="21"/>
  <c r="J120" i="21"/>
  <c r="G32" i="46"/>
  <c r="J26" i="21"/>
  <c r="J112" i="21"/>
  <c r="J18" i="21"/>
  <c r="J104" i="21"/>
  <c r="J37" i="21"/>
  <c r="J123" i="21"/>
  <c r="J32" i="21"/>
  <c r="J118" i="21"/>
  <c r="J40" i="21"/>
  <c r="J126" i="21"/>
  <c r="E74" i="46"/>
  <c r="I18" i="21"/>
  <c r="I104" i="21"/>
  <c r="I40" i="21"/>
  <c r="I126" i="21"/>
  <c r="I32" i="21"/>
  <c r="I118" i="21"/>
  <c r="I37" i="21"/>
  <c r="I123" i="21"/>
  <c r="I26" i="21"/>
  <c r="I112" i="21"/>
  <c r="E74" i="45"/>
  <c r="C74" i="44"/>
  <c r="G74" i="44"/>
  <c r="G76" i="44"/>
  <c r="H7" i="21"/>
  <c r="H93" i="21"/>
  <c r="H4" i="21"/>
  <c r="E43" i="46"/>
  <c r="G43" i="46"/>
  <c r="G44" i="46"/>
  <c r="G44" i="45"/>
  <c r="E43" i="44"/>
  <c r="G43" i="44"/>
  <c r="G44" i="44"/>
  <c r="G71" i="44"/>
  <c r="C44" i="44"/>
  <c r="C44" i="43"/>
  <c r="E43" i="43"/>
  <c r="G43" i="43"/>
  <c r="G44" i="43"/>
  <c r="I10" i="21"/>
  <c r="I96" i="21"/>
  <c r="I16" i="21"/>
  <c r="I102" i="21"/>
  <c r="E74" i="44"/>
  <c r="E74" i="43"/>
  <c r="G71" i="43"/>
  <c r="G78" i="43"/>
  <c r="G71" i="45"/>
  <c r="G78" i="45"/>
  <c r="G13" i="21"/>
  <c r="G99" i="21"/>
  <c r="G17" i="21"/>
  <c r="G103" i="21"/>
  <c r="G11" i="21"/>
  <c r="G97" i="21"/>
  <c r="G32" i="21"/>
  <c r="G118" i="21"/>
  <c r="G37" i="21"/>
  <c r="G123" i="21"/>
  <c r="G16" i="21"/>
  <c r="G102" i="21"/>
  <c r="G36" i="21"/>
  <c r="G122" i="21"/>
  <c r="G34" i="21"/>
  <c r="G120" i="21"/>
  <c r="G9" i="21"/>
  <c r="G95" i="21"/>
  <c r="G40" i="21"/>
  <c r="G126" i="21"/>
  <c r="G26" i="21"/>
  <c r="G112" i="21"/>
  <c r="G38" i="21"/>
  <c r="G124" i="21"/>
  <c r="G18" i="21"/>
  <c r="G104" i="21"/>
  <c r="G10" i="21"/>
  <c r="G96" i="21"/>
  <c r="G14" i="21"/>
  <c r="G100" i="21"/>
  <c r="H11" i="21"/>
  <c r="H97" i="21"/>
  <c r="H16" i="21"/>
  <c r="H102" i="21"/>
  <c r="H9" i="21"/>
  <c r="H95" i="21"/>
  <c r="H17" i="21"/>
  <c r="H103" i="21"/>
  <c r="H10" i="21"/>
  <c r="H96" i="21"/>
  <c r="G71" i="46"/>
  <c r="J6" i="21"/>
  <c r="G6" i="21"/>
  <c r="H38" i="21"/>
  <c r="H124" i="21"/>
  <c r="H34" i="21"/>
  <c r="H120" i="21"/>
  <c r="H13" i="21"/>
  <c r="H99" i="21"/>
  <c r="H36" i="21"/>
  <c r="H122" i="21"/>
  <c r="H14" i="21"/>
  <c r="H100" i="21"/>
  <c r="G78" i="44"/>
  <c r="H6" i="21"/>
  <c r="H18" i="21"/>
  <c r="H104" i="21"/>
  <c r="H40" i="21"/>
  <c r="H126" i="21"/>
  <c r="H37" i="21"/>
  <c r="H123" i="21"/>
  <c r="H32" i="21"/>
  <c r="H118" i="21"/>
  <c r="H26" i="21"/>
  <c r="H112" i="21"/>
  <c r="G80" i="42"/>
  <c r="F75" i="42"/>
  <c r="C75" i="42"/>
  <c r="E75" i="42"/>
  <c r="G75" i="42"/>
  <c r="F74" i="42"/>
  <c r="C69" i="42"/>
  <c r="F68" i="42"/>
  <c r="G68" i="42"/>
  <c r="F67" i="42"/>
  <c r="G67" i="42"/>
  <c r="F66" i="42"/>
  <c r="G66" i="42"/>
  <c r="F65" i="42"/>
  <c r="G65" i="42"/>
  <c r="F62" i="42"/>
  <c r="G62" i="42"/>
  <c r="F60" i="42"/>
  <c r="E60" i="42"/>
  <c r="F57" i="42"/>
  <c r="E57" i="42"/>
  <c r="C54" i="42"/>
  <c r="F53" i="42"/>
  <c r="E53" i="42"/>
  <c r="G53" i="42"/>
  <c r="E52" i="42"/>
  <c r="F52" i="42"/>
  <c r="G52" i="42"/>
  <c r="F51" i="42"/>
  <c r="E51" i="42"/>
  <c r="F50" i="42"/>
  <c r="E50" i="42"/>
  <c r="F47" i="42"/>
  <c r="E47" i="42"/>
  <c r="G47" i="42"/>
  <c r="F43" i="42"/>
  <c r="F42" i="42"/>
  <c r="D39" i="42"/>
  <c r="D40" i="42"/>
  <c r="D42" i="42"/>
  <c r="D43" i="42"/>
  <c r="D44" i="42"/>
  <c r="F39" i="42"/>
  <c r="F38" i="42"/>
  <c r="E38" i="42"/>
  <c r="G38" i="42"/>
  <c r="F37" i="42"/>
  <c r="E37" i="42"/>
  <c r="F36" i="42"/>
  <c r="E36" i="42"/>
  <c r="F35" i="42"/>
  <c r="E35" i="42"/>
  <c r="D32" i="42"/>
  <c r="F31" i="42"/>
  <c r="E31" i="42"/>
  <c r="F30" i="42"/>
  <c r="E30" i="42"/>
  <c r="G30" i="42"/>
  <c r="F29" i="42"/>
  <c r="E29" i="42"/>
  <c r="F28" i="42"/>
  <c r="E28" i="42"/>
  <c r="G28" i="42"/>
  <c r="F27" i="42"/>
  <c r="E27" i="42"/>
  <c r="F26" i="42"/>
  <c r="E26" i="42"/>
  <c r="F25" i="42"/>
  <c r="E25" i="42"/>
  <c r="G25" i="42"/>
  <c r="F24" i="42"/>
  <c r="E24" i="42"/>
  <c r="F23" i="42"/>
  <c r="E23" i="42"/>
  <c r="F22" i="42"/>
  <c r="E22" i="42"/>
  <c r="G22" i="42"/>
  <c r="F21" i="42"/>
  <c r="E21" i="42"/>
  <c r="F20" i="42"/>
  <c r="E20" i="42"/>
  <c r="G20" i="42"/>
  <c r="F19" i="42"/>
  <c r="E19" i="42"/>
  <c r="F18" i="42"/>
  <c r="E18" i="42"/>
  <c r="F17" i="42"/>
  <c r="E17" i="42"/>
  <c r="G17" i="42"/>
  <c r="F16" i="42"/>
  <c r="E16" i="42"/>
  <c r="F15" i="42"/>
  <c r="E15" i="42"/>
  <c r="F14" i="42"/>
  <c r="E14" i="42"/>
  <c r="G78" i="46"/>
  <c r="I6" i="21"/>
  <c r="H8" i="21"/>
  <c r="H19" i="21"/>
  <c r="H20" i="21"/>
  <c r="H39" i="21"/>
  <c r="H92" i="21"/>
  <c r="H94" i="21"/>
  <c r="H105" i="21"/>
  <c r="H106" i="21"/>
  <c r="J8" i="21"/>
  <c r="J19" i="21"/>
  <c r="J20" i="21"/>
  <c r="J39" i="21"/>
  <c r="J92" i="21"/>
  <c r="J94" i="21"/>
  <c r="J105" i="21"/>
  <c r="J106" i="21"/>
  <c r="I8" i="21"/>
  <c r="I19" i="21"/>
  <c r="I20" i="21"/>
  <c r="I39" i="21"/>
  <c r="I92" i="21"/>
  <c r="I94" i="21"/>
  <c r="I105" i="21"/>
  <c r="I106" i="21"/>
  <c r="G8" i="21"/>
  <c r="G19" i="21"/>
  <c r="G20" i="21"/>
  <c r="G39" i="21"/>
  <c r="G92" i="21"/>
  <c r="G94" i="21"/>
  <c r="G105" i="21"/>
  <c r="G106" i="21"/>
  <c r="E40" i="42"/>
  <c r="C39" i="42"/>
  <c r="C43" i="42"/>
  <c r="G16" i="42"/>
  <c r="G21" i="42"/>
  <c r="G24" i="42"/>
  <c r="G29" i="42"/>
  <c r="G37" i="42"/>
  <c r="G18" i="42"/>
  <c r="G26" i="42"/>
  <c r="G36" i="42"/>
  <c r="C74" i="42"/>
  <c r="E74" i="42"/>
  <c r="G15" i="42"/>
  <c r="G19" i="42"/>
  <c r="G23" i="42"/>
  <c r="G27" i="42"/>
  <c r="G31" i="42"/>
  <c r="G69" i="42"/>
  <c r="G35" i="42"/>
  <c r="G51" i="42"/>
  <c r="G57" i="42"/>
  <c r="E32" i="42"/>
  <c r="F44" i="42"/>
  <c r="E54" i="42"/>
  <c r="G60" i="42"/>
  <c r="G14" i="42"/>
  <c r="G50" i="42"/>
  <c r="E62" i="42"/>
  <c r="H41" i="21"/>
  <c r="H42" i="21"/>
  <c r="H43" i="21"/>
  <c r="H125" i="21"/>
  <c r="H127" i="21"/>
  <c r="H128" i="21"/>
  <c r="H129" i="21"/>
  <c r="J41" i="21"/>
  <c r="J42" i="21"/>
  <c r="J43" i="21"/>
  <c r="J125" i="21"/>
  <c r="J127" i="21"/>
  <c r="J128" i="21"/>
  <c r="J129" i="21"/>
  <c r="G41" i="21"/>
  <c r="G42" i="21"/>
  <c r="G43" i="21"/>
  <c r="G125" i="21"/>
  <c r="G127" i="21"/>
  <c r="G128" i="21"/>
  <c r="G129" i="21"/>
  <c r="I41" i="21"/>
  <c r="I42" i="21"/>
  <c r="I43" i="21"/>
  <c r="I125" i="21"/>
  <c r="I127" i="21"/>
  <c r="I128" i="21"/>
  <c r="I129" i="21"/>
  <c r="G74" i="42"/>
  <c r="C40" i="42"/>
  <c r="C42" i="42"/>
  <c r="E42" i="42"/>
  <c r="G42" i="42"/>
  <c r="E39" i="42"/>
  <c r="G39" i="42"/>
  <c r="G40" i="42"/>
  <c r="G54" i="42"/>
  <c r="G32" i="42"/>
  <c r="E43" i="42"/>
  <c r="G43" i="42"/>
  <c r="C44" i="42"/>
  <c r="G76" i="42"/>
  <c r="F7" i="21"/>
  <c r="F93" i="21"/>
  <c r="G44" i="42"/>
  <c r="G71" i="42"/>
  <c r="G78" i="42"/>
  <c r="G81" i="42"/>
  <c r="G84" i="42"/>
  <c r="F6" i="21"/>
  <c r="F92" i="21"/>
  <c r="F94" i="21"/>
  <c r="F105" i="21"/>
  <c r="F106" i="21"/>
  <c r="C61" i="40"/>
  <c r="F22" i="21"/>
  <c r="F24" i="21"/>
  <c r="F110" i="21"/>
  <c r="F108" i="21"/>
  <c r="F23" i="21"/>
  <c r="F8" i="21"/>
  <c r="F19" i="21"/>
  <c r="F25" i="21"/>
  <c r="F111" i="21"/>
  <c r="F109" i="21"/>
  <c r="F20" i="21"/>
  <c r="F39" i="21"/>
  <c r="F41" i="21"/>
  <c r="F42" i="21"/>
  <c r="F43" i="21"/>
  <c r="F125" i="21"/>
  <c r="F127" i="21"/>
  <c r="F128" i="21"/>
  <c r="F129" i="21"/>
</calcChain>
</file>

<file path=xl/sharedStrings.xml><?xml version="1.0" encoding="utf-8"?>
<sst xmlns="http://schemas.openxmlformats.org/spreadsheetml/2006/main" count="1009" uniqueCount="199">
  <si>
    <t>District of Columbia Public Charter Schools (GC0)</t>
  </si>
  <si>
    <t>Per Pupil Funding Analysis (D.C. Act 12-494)</t>
  </si>
  <si>
    <t xml:space="preserve">EW Stokes PCS </t>
  </si>
  <si>
    <t xml:space="preserve">FY 2016 SCHOOLS PROPOSED BUDGET </t>
  </si>
  <si>
    <t>FY 2016 Authorized Enrollment Ceiling: 350 Students</t>
  </si>
  <si>
    <t>Foundation level per pupil</t>
  </si>
  <si>
    <t>Non-Residential Facilities Allotment:</t>
  </si>
  <si>
    <t>Residential Facilities Allotment:</t>
  </si>
  <si>
    <t>INDEX</t>
  </si>
  <si>
    <t>10901</t>
  </si>
  <si>
    <t>General Education</t>
  </si>
  <si>
    <t xml:space="preserve">SCHOOL CERTIFIED </t>
  </si>
  <si>
    <t xml:space="preserve">Additional Enrollment </t>
  </si>
  <si>
    <t>Total</t>
  </si>
  <si>
    <t>Per Pupil</t>
  </si>
  <si>
    <t>Grade Level</t>
  </si>
  <si>
    <t>Weighting</t>
  </si>
  <si>
    <t>ENROLLMENT</t>
  </si>
  <si>
    <t>Per School Record</t>
  </si>
  <si>
    <t>Enrollment</t>
  </si>
  <si>
    <t>Allocation</t>
  </si>
  <si>
    <t>Dollars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</si>
  <si>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</si>
  <si>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</si>
  <si>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</si>
  <si>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</si>
  <si>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</si>
  <si>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</si>
  <si>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</si>
  <si>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</si>
  <si>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</si>
  <si>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</si>
  <si>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</si>
  <si>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</si>
  <si>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</si>
  <si>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</si>
  <si>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</si>
  <si>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</si>
  <si>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</si>
  <si>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</si>
  <si>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</si>
  <si>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</si>
  <si>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Not in SEDS</t>
  </si>
  <si>
    <t>Level 1</t>
  </si>
  <si>
    <t>Level 2</t>
  </si>
  <si>
    <t>Level 3</t>
  </si>
  <si>
    <t>Level 4</t>
  </si>
  <si>
    <t>Subtotal  for Special Ed</t>
  </si>
  <si>
    <t>Blackman Jones Compliance</t>
  </si>
  <si>
    <t>Attorney's Fees Supplement</t>
  </si>
  <si>
    <t>Subtotal Special Ed Compliance</t>
  </si>
  <si>
    <t>English Language Learners</t>
  </si>
  <si>
    <t>Not in SLED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</si>
  <si>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</si>
  <si>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</si>
  <si>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</si>
  <si>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</si>
  <si>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</si>
  <si>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</si>
  <si>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</si>
  <si>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</si>
  <si>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</si>
  <si>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</si>
  <si>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AT RISK STUDENTS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</si>
  <si>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</si>
  <si>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</si>
  <si>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</si>
  <si>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</si>
  <si>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</si>
  <si>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</si>
  <si>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Total FY 2016 Instructional Dollars</t>
  </si>
  <si>
    <t>Facilities Allowance</t>
  </si>
  <si>
    <t>Non-Residential Facilities Allotment</t>
  </si>
  <si>
    <t>Residential Facilities Allotment</t>
  </si>
  <si>
    <t>Total FY 2016 Facilities Allowance</t>
  </si>
  <si>
    <t>Total FY 2016 Projection</t>
  </si>
  <si>
    <t>Q1 JULY 15, 2015</t>
  </si>
  <si>
    <t>Q2 OCTOBER 25, 2015</t>
  </si>
  <si>
    <t>Q3 JANUARY 15, 2016</t>
  </si>
  <si>
    <t>Q4 APRIL 15, 2016</t>
  </si>
  <si>
    <t>TOTAL PAYMENTS</t>
  </si>
  <si>
    <t>Expansion Site</t>
  </si>
  <si>
    <t>Year 1</t>
  </si>
  <si>
    <t>Year 2</t>
  </si>
  <si>
    <t>Year 3</t>
  </si>
  <si>
    <t>Year 4</t>
  </si>
  <si>
    <t>Year 5</t>
  </si>
  <si>
    <t>Year 6</t>
  </si>
  <si>
    <t>Assumptions</t>
  </si>
  <si>
    <t>SY19/18</t>
  </si>
  <si>
    <t>SY20/19</t>
  </si>
  <si>
    <t>SY21/20</t>
  </si>
  <si>
    <t>SY22/21</t>
  </si>
  <si>
    <t>SY23/22</t>
  </si>
  <si>
    <t>SY24/23</t>
  </si>
  <si>
    <t>Sq Footage</t>
  </si>
  <si>
    <t>Income</t>
  </si>
  <si>
    <t>4100 · Per Pupil Charter Payments</t>
  </si>
  <si>
    <t>4101 · Per Pupil Facilities Allowance</t>
  </si>
  <si>
    <t>Total 4099 · Per Pupil Payments</t>
  </si>
  <si>
    <t>Total 4120 · Federal Entitlements (NCLB)</t>
  </si>
  <si>
    <t>$600 per pupil</t>
  </si>
  <si>
    <t>Total 4130 · Other Government Funds</t>
  </si>
  <si>
    <t>$700 per pupil</t>
  </si>
  <si>
    <t>Total 4290 · Private Grants and Donations</t>
  </si>
  <si>
    <t>$100 per pupil</t>
  </si>
  <si>
    <t>4400 · Program Fees</t>
  </si>
  <si>
    <t>Summer School</t>
  </si>
  <si>
    <t>4600 · Activities Fees (student)</t>
  </si>
  <si>
    <t>$25 per pupil</t>
  </si>
  <si>
    <t>4610 · Aftercare Income</t>
  </si>
  <si>
    <t>$710 per pupil</t>
  </si>
  <si>
    <t>Total 4802 · Stokes Kitchen Inc</t>
  </si>
  <si>
    <t>4500 · Special Events/Fundraising</t>
  </si>
  <si>
    <t>4800 · Other Income - Other</t>
  </si>
  <si>
    <t>$50 per pupil</t>
  </si>
  <si>
    <t>Total 4940 · Breakfast/Lunch Fees</t>
  </si>
  <si>
    <t>$695 per pupil</t>
  </si>
  <si>
    <t>Total Income</t>
  </si>
  <si>
    <t>Gross Profit</t>
  </si>
  <si>
    <t>Expense</t>
  </si>
  <si>
    <t>Total Salaries</t>
  </si>
  <si>
    <t>Total 5200 · Employee Benefits</t>
  </si>
  <si>
    <t>20% of Salaries</t>
  </si>
  <si>
    <t>5300 · Professional Development</t>
  </si>
  <si>
    <t>10% of Salaries</t>
  </si>
  <si>
    <t>Total 5000 · 1-PERSONNEL SALARIES &amp; BENEFITS</t>
  </si>
  <si>
    <t>Total 6000 · 2-DIRECT STUDENT COSTS</t>
  </si>
  <si>
    <t>$2000 per pupil</t>
  </si>
  <si>
    <t>6400 · 3-OCCUPANCY EXPENSES</t>
  </si>
  <si>
    <t>rent expense</t>
  </si>
  <si>
    <t>$20 per Sq ft</t>
  </si>
  <si>
    <t>Total 6402 · Utilites</t>
  </si>
  <si>
    <t>$2.5 per Sq ft</t>
  </si>
  <si>
    <t>Total 6403 · Contracted Building Svcs</t>
  </si>
  <si>
    <t>$3 per Sq ft</t>
  </si>
  <si>
    <t>Total 6400 · 3-OCCUPANCY EXPENSES</t>
  </si>
  <si>
    <t>Total 6450 · 4-OFFICE EXPENSES</t>
  </si>
  <si>
    <t>$800 per pupil</t>
  </si>
  <si>
    <t>6510 · 5-GENERAL EXPENSES</t>
  </si>
  <si>
    <t>Total 6545 · Other General Expense</t>
  </si>
  <si>
    <t>$60 per pupil</t>
  </si>
  <si>
    <t>7005 · Stokes Kitchen Expense</t>
  </si>
  <si>
    <t>6102 · Dues &amp; Subscriptions</t>
  </si>
  <si>
    <t>$40 per pupil</t>
  </si>
  <si>
    <t>Total 6003 · Insurance</t>
  </si>
  <si>
    <t>$215 per pupil</t>
  </si>
  <si>
    <t>Total 6800 · Transportation</t>
  </si>
  <si>
    <t>$45 per pupil</t>
  </si>
  <si>
    <t>9003 · DC PCSB Admin Fee</t>
  </si>
  <si>
    <t>1% of income</t>
  </si>
  <si>
    <t>7001 · Marketing/Advertising</t>
  </si>
  <si>
    <t>Total 6510 · 5-GENERAL EXPENSES</t>
  </si>
  <si>
    <t>Total Expense</t>
  </si>
  <si>
    <t>Net Income</t>
  </si>
  <si>
    <t>Oakview Terrace</t>
  </si>
  <si>
    <t>SY18/17</t>
  </si>
  <si>
    <t>$250 per pupil(Summer School)</t>
  </si>
  <si>
    <t>$150 per pupil(Study Tour)</t>
  </si>
  <si>
    <t>Mortgage interest Expense</t>
  </si>
  <si>
    <t>$10 per pupil</t>
  </si>
  <si>
    <t>Combined</t>
  </si>
  <si>
    <t>Class</t>
  </si>
  <si>
    <t>Admin Asst</t>
  </si>
  <si>
    <t>Security</t>
  </si>
  <si>
    <t>Maintenance</t>
  </si>
  <si>
    <t>Kinder French</t>
  </si>
  <si>
    <t>Teachar</t>
  </si>
  <si>
    <t>Teaching Asst</t>
  </si>
  <si>
    <t xml:space="preserve">Kinder Spanish </t>
  </si>
  <si>
    <t>pre k span a</t>
  </si>
  <si>
    <t>pre k span b</t>
  </si>
  <si>
    <t>pre k french a</t>
  </si>
  <si>
    <t>pre k french b</t>
  </si>
  <si>
    <t>Specials Teacher</t>
  </si>
  <si>
    <t>1st Gr Spanish</t>
  </si>
  <si>
    <t>1st Gr French</t>
  </si>
  <si>
    <t>2nd Gr Spanish</t>
  </si>
  <si>
    <t>2nd Gr French</t>
  </si>
  <si>
    <t>3rd Gr Spanish</t>
  </si>
  <si>
    <t>3rd Gr French</t>
  </si>
  <si>
    <t>4th Gr Spanish</t>
  </si>
  <si>
    <t>4th Gr French</t>
  </si>
  <si>
    <t>5th Gr Spanish</t>
  </si>
  <si>
    <t>5th Gr French</t>
  </si>
  <si>
    <t>Instructional Leader</t>
  </si>
  <si>
    <t>Aftercare total</t>
  </si>
  <si>
    <t>ECD Learning Specialist</t>
  </si>
  <si>
    <t>Literacy Coach</t>
  </si>
  <si>
    <t>Math Coach</t>
  </si>
  <si>
    <t>Data &amp; Assessment</t>
  </si>
  <si>
    <t>learning Specialist</t>
  </si>
  <si>
    <t>instructional coach</t>
  </si>
  <si>
    <t>IB Coordinator</t>
  </si>
  <si>
    <t>Sped Coordinator</t>
  </si>
  <si>
    <t>admin manager</t>
  </si>
  <si>
    <t>IT support</t>
  </si>
  <si>
    <t>Instructional sub</t>
  </si>
  <si>
    <t>500-General Food Serv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</si>
</sst>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"/>
    <numFmt numFmtId="166" formatCode="_(* #,##0_);_(* \(#,##0\);_(* &quot;-&quot;??_);_(@_)"/>
    <numFmt numFmtId="167" formatCode="#,##0.000_);[Red]\(#,##0.000\)"/>
  </numFmts>
  <fonts count="4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indexed="9"/>
      <name val="Times New Roman"/>
      <family val="1"/>
    </font>
    <font>
      <b/>
      <sz val="14"/>
      <color rgb="FF00B0F0"/>
      <name val="Times New Roman"/>
      <family val="1"/>
    </font>
    <font>
      <sz val="10"/>
      <color rgb="FF00B0F0"/>
      <name val="Times New Roman"/>
      <family val="1"/>
    </font>
    <font>
      <sz val="10"/>
      <color rgb="FF000000"/>
      <name val="Times New Roman"/>
      <family val="1"/>
    </font>
    <font>
      <sz val="10"/>
      <name val="Calibri"/>
      <family val="2"/>
    </font>
    <font>
      <sz val="10"/>
      <name val="Arial"/>
    </font>
    <font>
      <sz val="11"/>
      <color rgb="FFFF0000"/>
      <name val="Calibri"/>
      <family val="2"/>
      <scheme val="minor"/>
    </font>
    <font>
      <b/>
      <sz val="18"/>
      <color indexed="9"/>
      <name val="Times New Roman"/>
      <family val="1"/>
    </font>
    <font>
      <b/>
      <sz val="18"/>
      <name val="Times New Roman"/>
      <family val="1"/>
    </font>
    <font>
      <b/>
      <sz val="10"/>
      <color indexed="12"/>
      <name val="Times New Roman"/>
      <family val="1"/>
    </font>
    <font>
      <b/>
      <sz val="10"/>
      <color rgb="FFFF0000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0"/>
      <name val="Times New Roman"/>
      <family val="1"/>
    </font>
    <font>
      <sz val="10"/>
      <color indexed="12"/>
      <name val="Times New Roman"/>
      <family val="1"/>
    </font>
    <font>
      <b/>
      <sz val="12"/>
      <color indexed="12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63">
    <xf numFmtId="0" fontId="0" fillId="0" borderId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28" fillId="0" borderId="0"/>
    <xf numFmtId="0" fontId="1" fillId="0" borderId="0"/>
    <xf numFmtId="44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horizontal="center"/>
    </xf>
    <xf numFmtId="49" fontId="23" fillId="0" borderId="0" xfId="0" applyNumberFormat="1" applyFont="1"/>
    <xf numFmtId="49" fontId="24" fillId="0" borderId="0" xfId="0" applyNumberFormat="1" applyFont="1"/>
    <xf numFmtId="49" fontId="23" fillId="0" borderId="0" xfId="0" applyNumberFormat="1" applyFont="1" applyAlignment="1">
      <alignment horizontal="center"/>
    </xf>
    <xf numFmtId="0" fontId="23" fillId="0" borderId="0" xfId="0" applyNumberFormat="1" applyFont="1"/>
    <xf numFmtId="0" fontId="2" fillId="0" borderId="0" xfId="395" applyFont="1" applyFill="1"/>
    <xf numFmtId="1" fontId="2" fillId="0" borderId="17" xfId="394" applyNumberFormat="1" applyFont="1" applyFill="1" applyBorder="1"/>
    <xf numFmtId="0" fontId="2" fillId="0" borderId="0" xfId="395" applyFont="1"/>
    <xf numFmtId="0" fontId="29" fillId="0" borderId="0" xfId="0" applyFont="1"/>
    <xf numFmtId="0" fontId="29" fillId="0" borderId="0" xfId="0" applyFont="1" applyFill="1"/>
    <xf numFmtId="0" fontId="29" fillId="0" borderId="0" xfId="394" applyFont="1" applyFill="1" applyAlignment="1">
      <alignment horizontal="center" wrapText="1"/>
    </xf>
    <xf numFmtId="43" fontId="29" fillId="0" borderId="0" xfId="271" applyFont="1" applyFill="1" applyBorder="1" applyAlignment="1">
      <alignment wrapText="1"/>
    </xf>
    <xf numFmtId="0" fontId="29" fillId="0" borderId="0" xfId="394" applyFont="1" applyFill="1" applyAlignment="1">
      <alignment horizontal="left"/>
    </xf>
    <xf numFmtId="0" fontId="29" fillId="0" borderId="0" xfId="394" applyFont="1" applyFill="1"/>
    <xf numFmtId="43" fontId="29" fillId="0" borderId="0" xfId="271" applyFont="1" applyFill="1" applyAlignment="1"/>
    <xf numFmtId="43" fontId="29" fillId="0" borderId="0" xfId="271" applyFont="1"/>
    <xf numFmtId="0" fontId="29" fillId="0" borderId="16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0" fontId="29" fillId="0" borderId="0" xfId="0" applyFont="1" applyFill="1" applyBorder="1" applyAlignment="1">
      <alignment wrapText="1"/>
    </xf>
    <xf numFmtId="0" fontId="29" fillId="0" borderId="16" xfId="394" applyFont="1" applyFill="1" applyBorder="1" applyAlignment="1">
      <alignment horizontal="left"/>
    </xf>
    <xf numFmtId="0" fontId="29" fillId="0" borderId="16" xfId="0" applyFont="1" applyFill="1" applyBorder="1" applyAlignment="1">
      <alignment horizontal="center" wrapText="1"/>
    </xf>
    <xf numFmtId="164" fontId="34" fillId="0" borderId="18" xfId="458" applyNumberFormat="1" applyFont="1" applyBorder="1" applyAlignment="1">
      <alignment horizontal="center"/>
    </xf>
    <xf numFmtId="44" fontId="3" fillId="0" borderId="0" xfId="458" applyFont="1" applyAlignment="1">
      <alignment horizontal="center" wrapText="1"/>
    </xf>
    <xf numFmtId="0" fontId="3" fillId="0" borderId="0" xfId="394" applyFont="1"/>
    <xf numFmtId="164" fontId="34" fillId="0" borderId="19" xfId="458" applyNumberFormat="1" applyFont="1" applyBorder="1" applyAlignment="1">
      <alignment horizontal="center"/>
    </xf>
    <xf numFmtId="164" fontId="34" fillId="0" borderId="21" xfId="458" applyNumberFormat="1" applyFont="1" applyBorder="1" applyAlignment="1">
      <alignment horizontal="center"/>
    </xf>
    <xf numFmtId="0" fontId="2" fillId="0" borderId="0" xfId="394" applyFont="1"/>
    <xf numFmtId="42" fontId="2" fillId="0" borderId="0" xfId="394" applyNumberFormat="1" applyFont="1"/>
    <xf numFmtId="44" fontId="3" fillId="0" borderId="0" xfId="458" applyFont="1" applyAlignment="1">
      <alignment horizontal="center"/>
    </xf>
    <xf numFmtId="0" fontId="3" fillId="0" borderId="0" xfId="394" applyFont="1" applyAlignment="1">
      <alignment horizontal="center"/>
    </xf>
    <xf numFmtId="0" fontId="3" fillId="25" borderId="22" xfId="394" applyFont="1" applyFill="1" applyBorder="1" applyAlignment="1">
      <alignment wrapText="1"/>
    </xf>
    <xf numFmtId="0" fontId="2" fillId="25" borderId="17" xfId="394" applyFont="1" applyFill="1" applyBorder="1" applyAlignment="1">
      <alignment wrapText="1"/>
    </xf>
    <xf numFmtId="0" fontId="3" fillId="25" borderId="23" xfId="394" applyFont="1" applyFill="1" applyBorder="1" applyAlignment="1">
      <alignment horizontal="center" wrapText="1"/>
    </xf>
    <xf numFmtId="0" fontId="3" fillId="25" borderId="24" xfId="394" applyFont="1" applyFill="1" applyBorder="1" applyAlignment="1">
      <alignment horizontal="center" wrapText="1"/>
    </xf>
    <xf numFmtId="0" fontId="3" fillId="25" borderId="25" xfId="394" applyFont="1" applyFill="1" applyBorder="1" applyAlignment="1">
      <alignment horizontal="center" wrapText="1"/>
    </xf>
    <xf numFmtId="44" fontId="3" fillId="25" borderId="17" xfId="458" applyFont="1" applyFill="1" applyBorder="1" applyAlignment="1">
      <alignment horizontal="center" wrapText="1"/>
    </xf>
    <xf numFmtId="42" fontId="3" fillId="25" borderId="26" xfId="458" applyNumberFormat="1" applyFont="1" applyFill="1" applyBorder="1" applyAlignment="1">
      <alignment horizontal="center" wrapText="1"/>
    </xf>
    <xf numFmtId="0" fontId="2" fillId="25" borderId="27" xfId="394" applyFont="1" applyFill="1" applyBorder="1" applyAlignment="1">
      <alignment wrapText="1"/>
    </xf>
    <xf numFmtId="0" fontId="3" fillId="25" borderId="28" xfId="394" applyFont="1" applyFill="1" applyBorder="1" applyAlignment="1">
      <alignment horizontal="center" wrapText="1"/>
    </xf>
    <xf numFmtId="0" fontId="3" fillId="25" borderId="19" xfId="394" applyFont="1" applyFill="1" applyBorder="1" applyAlignment="1">
      <alignment horizontal="center" wrapText="1"/>
    </xf>
    <xf numFmtId="44" fontId="3" fillId="25" borderId="19" xfId="458" applyFont="1" applyFill="1" applyBorder="1" applyAlignment="1">
      <alignment horizontal="center" wrapText="1"/>
    </xf>
    <xf numFmtId="42" fontId="3" fillId="25" borderId="29" xfId="458" applyNumberFormat="1" applyFont="1" applyFill="1" applyBorder="1" applyAlignment="1">
      <alignment horizontal="center" wrapText="1"/>
    </xf>
    <xf numFmtId="0" fontId="2" fillId="0" borderId="22" xfId="394" applyFont="1" applyFill="1" applyBorder="1"/>
    <xf numFmtId="2" fontId="2" fillId="0" borderId="17" xfId="394" applyNumberFormat="1" applyFont="1" applyFill="1" applyBorder="1"/>
    <xf numFmtId="1" fontId="2" fillId="0" borderId="30" xfId="394" applyNumberFormat="1" applyFont="1" applyFill="1" applyBorder="1"/>
    <xf numFmtId="1" fontId="2" fillId="26" borderId="25" xfId="394" applyNumberFormat="1" applyFont="1" applyFill="1" applyBorder="1"/>
    <xf numFmtId="166" fontId="2" fillId="0" borderId="30" xfId="271" applyNumberFormat="1" applyFont="1" applyFill="1" applyBorder="1"/>
    <xf numFmtId="42" fontId="2" fillId="0" borderId="26" xfId="458" applyNumberFormat="1" applyFont="1" applyFill="1" applyBorder="1"/>
    <xf numFmtId="0" fontId="2" fillId="0" borderId="31" xfId="394" applyFont="1" applyFill="1" applyBorder="1"/>
    <xf numFmtId="2" fontId="2" fillId="0" borderId="30" xfId="394" applyNumberFormat="1" applyFont="1" applyFill="1" applyBorder="1"/>
    <xf numFmtId="1" fontId="2" fillId="26" borderId="32" xfId="394" applyNumberFormat="1" applyFont="1" applyFill="1" applyBorder="1"/>
    <xf numFmtId="0" fontId="2" fillId="0" borderId="30" xfId="394" applyFont="1" applyFill="1" applyBorder="1"/>
    <xf numFmtId="42" fontId="2" fillId="0" borderId="33" xfId="458" applyNumberFormat="1" applyFont="1" applyFill="1" applyBorder="1"/>
    <xf numFmtId="16" fontId="2" fillId="0" borderId="31" xfId="394" applyNumberFormat="1" applyFont="1" applyFill="1" applyBorder="1"/>
    <xf numFmtId="16" fontId="2" fillId="0" borderId="34" xfId="394" applyNumberFormat="1" applyFont="1" applyFill="1" applyBorder="1"/>
    <xf numFmtId="2" fontId="2" fillId="0" borderId="19" xfId="394" applyNumberFormat="1" applyFont="1" applyFill="1" applyBorder="1"/>
    <xf numFmtId="1" fontId="2" fillId="26" borderId="19" xfId="394" applyNumberFormat="1" applyFont="1" applyFill="1" applyBorder="1"/>
    <xf numFmtId="0" fontId="2" fillId="0" borderId="19" xfId="394" applyFont="1" applyFill="1" applyBorder="1"/>
    <xf numFmtId="42" fontId="2" fillId="0" borderId="35" xfId="458" applyNumberFormat="1" applyFont="1" applyFill="1" applyBorder="1"/>
    <xf numFmtId="0" fontId="3" fillId="25" borderId="36" xfId="394" applyFont="1" applyFill="1" applyBorder="1"/>
    <xf numFmtId="2" fontId="2" fillId="25" borderId="37" xfId="394" applyNumberFormat="1" applyFont="1" applyFill="1" applyBorder="1"/>
    <xf numFmtId="1" fontId="3" fillId="25" borderId="37" xfId="394" applyNumberFormat="1" applyFont="1" applyFill="1" applyBorder="1"/>
    <xf numFmtId="42" fontId="3" fillId="25" borderId="38" xfId="458" applyNumberFormat="1" applyFont="1" applyFill="1" applyBorder="1"/>
    <xf numFmtId="0" fontId="36" fillId="0" borderId="0" xfId="394" applyFont="1"/>
    <xf numFmtId="2" fontId="36" fillId="0" borderId="0" xfId="394" applyNumberFormat="1" applyFont="1"/>
    <xf numFmtId="1" fontId="2" fillId="0" borderId="0" xfId="394" applyNumberFormat="1" applyFont="1"/>
    <xf numFmtId="0" fontId="37" fillId="0" borderId="0" xfId="394" applyFont="1" applyFill="1"/>
    <xf numFmtId="0" fontId="3" fillId="25" borderId="39" xfId="394" applyFont="1" applyFill="1" applyBorder="1"/>
    <xf numFmtId="0" fontId="3" fillId="25" borderId="17" xfId="394" applyFont="1" applyFill="1" applyBorder="1" applyAlignment="1">
      <alignment horizontal="center" wrapText="1"/>
    </xf>
    <xf numFmtId="1" fontId="2" fillId="26" borderId="30" xfId="394" applyNumberFormat="1" applyFont="1" applyFill="1" applyBorder="1"/>
    <xf numFmtId="164" fontId="2" fillId="0" borderId="30" xfId="458" applyNumberFormat="1" applyFont="1" applyFill="1" applyBorder="1" applyAlignment="1">
      <alignment horizontal="center" wrapText="1"/>
    </xf>
    <xf numFmtId="42" fontId="2" fillId="0" borderId="33" xfId="458" applyNumberFormat="1" applyFont="1" applyFill="1" applyBorder="1" applyAlignment="1">
      <alignment horizontal="center" wrapText="1"/>
    </xf>
    <xf numFmtId="164" fontId="2" fillId="0" borderId="30" xfId="394" applyNumberFormat="1" applyFont="1" applyFill="1" applyBorder="1"/>
    <xf numFmtId="42" fontId="2" fillId="0" borderId="33" xfId="458" applyNumberFormat="1" applyFont="1" applyFill="1" applyBorder="1" applyAlignment="1">
      <alignment horizontal="left"/>
    </xf>
    <xf numFmtId="0" fontId="3" fillId="25" borderId="27" xfId="394" applyFont="1" applyFill="1" applyBorder="1"/>
    <xf numFmtId="2" fontId="3" fillId="25" borderId="28" xfId="394" applyNumberFormat="1" applyFont="1" applyFill="1" applyBorder="1"/>
    <xf numFmtId="1" fontId="3" fillId="25" borderId="28" xfId="394" applyNumberFormat="1" applyFont="1" applyFill="1" applyBorder="1"/>
    <xf numFmtId="0" fontId="3" fillId="25" borderId="28" xfId="394" applyFont="1" applyFill="1" applyBorder="1"/>
    <xf numFmtId="164" fontId="3" fillId="25" borderId="28" xfId="394" applyNumberFormat="1" applyFont="1" applyFill="1" applyBorder="1"/>
    <xf numFmtId="42" fontId="3" fillId="25" borderId="29" xfId="458" applyNumberFormat="1" applyFont="1" applyFill="1" applyBorder="1" applyAlignment="1">
      <alignment horizontal="left"/>
    </xf>
    <xf numFmtId="2" fontId="2" fillId="0" borderId="0" xfId="394" applyNumberFormat="1" applyFont="1"/>
    <xf numFmtId="165" fontId="2" fillId="0" borderId="17" xfId="394" applyNumberFormat="1" applyFont="1" applyFill="1" applyBorder="1"/>
    <xf numFmtId="0" fontId="2" fillId="0" borderId="17" xfId="394" applyFont="1" applyFill="1" applyBorder="1"/>
    <xf numFmtId="164" fontId="2" fillId="0" borderId="17" xfId="394" applyNumberFormat="1" applyFont="1" applyFill="1" applyBorder="1"/>
    <xf numFmtId="42" fontId="2" fillId="0" borderId="26" xfId="458" applyNumberFormat="1" applyFont="1" applyFill="1" applyBorder="1" applyAlignment="1">
      <alignment horizontal="left"/>
    </xf>
    <xf numFmtId="0" fontId="2" fillId="0" borderId="34" xfId="394" applyFont="1" applyFill="1" applyBorder="1"/>
    <xf numFmtId="165" fontId="2" fillId="0" borderId="19" xfId="394" applyNumberFormat="1" applyFont="1" applyFill="1" applyBorder="1"/>
    <xf numFmtId="1" fontId="2" fillId="0" borderId="19" xfId="394" applyNumberFormat="1" applyFont="1" applyFill="1" applyBorder="1"/>
    <xf numFmtId="164" fontId="2" fillId="0" borderId="19" xfId="394" applyNumberFormat="1" applyFont="1" applyFill="1" applyBorder="1"/>
    <xf numFmtId="42" fontId="2" fillId="0" borderId="35" xfId="458" applyNumberFormat="1" applyFont="1" applyFill="1" applyBorder="1" applyAlignment="1">
      <alignment horizontal="left"/>
    </xf>
    <xf numFmtId="0" fontId="3" fillId="25" borderId="37" xfId="394" applyFont="1" applyFill="1" applyBorder="1"/>
    <xf numFmtId="164" fontId="3" fillId="25" borderId="37" xfId="394" applyNumberFormat="1" applyFont="1" applyFill="1" applyBorder="1"/>
    <xf numFmtId="42" fontId="3" fillId="25" borderId="38" xfId="458" applyNumberFormat="1" applyFont="1" applyFill="1" applyBorder="1" applyAlignment="1">
      <alignment horizontal="left"/>
    </xf>
    <xf numFmtId="0" fontId="38" fillId="0" borderId="0" xfId="394" applyFont="1" applyBorder="1"/>
    <xf numFmtId="0" fontId="2" fillId="25" borderId="22" xfId="394" applyFont="1" applyFill="1" applyBorder="1"/>
    <xf numFmtId="0" fontId="3" fillId="0" borderId="27" xfId="394" applyFont="1" applyFill="1" applyBorder="1"/>
    <xf numFmtId="2" fontId="3" fillId="0" borderId="28" xfId="394" applyNumberFormat="1" applyFont="1" applyFill="1" applyBorder="1"/>
    <xf numFmtId="1" fontId="3" fillId="27" borderId="28" xfId="394" applyNumberFormat="1" applyFont="1" applyFill="1" applyBorder="1"/>
    <xf numFmtId="1" fontId="3" fillId="26" borderId="28" xfId="394" applyNumberFormat="1" applyFont="1" applyFill="1" applyBorder="1"/>
    <xf numFmtId="0" fontId="3" fillId="0" borderId="28" xfId="394" applyFont="1" applyFill="1" applyBorder="1"/>
    <xf numFmtId="164" fontId="3" fillId="0" borderId="28" xfId="394" applyNumberFormat="1" applyFont="1" applyFill="1" applyBorder="1"/>
    <xf numFmtId="42" fontId="3" fillId="0" borderId="29" xfId="458" applyNumberFormat="1" applyFont="1" applyFill="1" applyBorder="1"/>
    <xf numFmtId="0" fontId="3" fillId="25" borderId="22" xfId="394" applyFont="1" applyFill="1" applyBorder="1"/>
    <xf numFmtId="0" fontId="2" fillId="0" borderId="40" xfId="394" applyFont="1" applyFill="1" applyBorder="1"/>
    <xf numFmtId="167" fontId="2" fillId="0" borderId="30" xfId="394" applyNumberFormat="1" applyFont="1" applyFill="1" applyBorder="1" applyAlignment="1">
      <alignment horizontal="right"/>
    </xf>
    <xf numFmtId="1" fontId="37" fillId="0" borderId="30" xfId="394" applyNumberFormat="1" applyFont="1" applyFill="1" applyBorder="1"/>
    <xf numFmtId="0" fontId="37" fillId="0" borderId="30" xfId="394" applyFont="1" applyFill="1" applyBorder="1"/>
    <xf numFmtId="43" fontId="2" fillId="0" borderId="0" xfId="271" applyFont="1" applyFill="1"/>
    <xf numFmtId="2" fontId="2" fillId="25" borderId="28" xfId="394" applyNumberFormat="1" applyFont="1" applyFill="1" applyBorder="1" applyAlignment="1">
      <alignment horizontal="right"/>
    </xf>
    <xf numFmtId="0" fontId="39" fillId="25" borderId="28" xfId="394" applyFont="1" applyFill="1" applyBorder="1"/>
    <xf numFmtId="0" fontId="2" fillId="25" borderId="28" xfId="394" applyFont="1" applyFill="1" applyBorder="1"/>
    <xf numFmtId="42" fontId="3" fillId="25" borderId="29" xfId="394" applyNumberFormat="1" applyFont="1" applyFill="1" applyBorder="1"/>
    <xf numFmtId="2" fontId="2" fillId="0" borderId="0" xfId="394" applyNumberFormat="1" applyFont="1" applyAlignment="1">
      <alignment horizontal="right"/>
    </xf>
    <xf numFmtId="1" fontId="40" fillId="0" borderId="0" xfId="394" applyNumberFormat="1" applyFont="1"/>
    <xf numFmtId="0" fontId="2" fillId="25" borderId="22" xfId="394" applyFont="1" applyFill="1" applyBorder="1" applyAlignment="1">
      <alignment wrapText="1"/>
    </xf>
    <xf numFmtId="165" fontId="3" fillId="0" borderId="28" xfId="394" applyNumberFormat="1" applyFont="1" applyFill="1" applyBorder="1"/>
    <xf numFmtId="1" fontId="3" fillId="0" borderId="28" xfId="394" applyNumberFormat="1" applyFont="1" applyFill="1" applyBorder="1"/>
    <xf numFmtId="1" fontId="34" fillId="0" borderId="0" xfId="394" applyNumberFormat="1" applyFont="1"/>
    <xf numFmtId="0" fontId="39" fillId="0" borderId="0" xfId="394" applyFont="1" applyFill="1"/>
    <xf numFmtId="0" fontId="2" fillId="27" borderId="36" xfId="394" applyFont="1" applyFill="1" applyBorder="1"/>
    <xf numFmtId="165" fontId="2" fillId="27" borderId="37" xfId="394" applyNumberFormat="1" applyFont="1" applyFill="1" applyBorder="1" applyAlignment="1">
      <alignment horizontal="right"/>
    </xf>
    <xf numFmtId="1" fontId="2" fillId="27" borderId="37" xfId="394" applyNumberFormat="1" applyFont="1" applyFill="1" applyBorder="1"/>
    <xf numFmtId="0" fontId="37" fillId="27" borderId="37" xfId="394" applyFont="1" applyFill="1" applyBorder="1"/>
    <xf numFmtId="164" fontId="2" fillId="27" borderId="37" xfId="395" applyNumberFormat="1" applyFont="1" applyFill="1" applyBorder="1"/>
    <xf numFmtId="42" fontId="3" fillId="27" borderId="38" xfId="458" applyNumberFormat="1" applyFont="1" applyFill="1" applyBorder="1"/>
    <xf numFmtId="0" fontId="2" fillId="0" borderId="0" xfId="394" applyFont="1" applyBorder="1"/>
    <xf numFmtId="2" fontId="2" fillId="0" borderId="0" xfId="394" applyNumberFormat="1" applyFont="1" applyBorder="1" applyAlignment="1">
      <alignment horizontal="right"/>
    </xf>
    <xf numFmtId="1" fontId="2" fillId="0" borderId="0" xfId="394" applyNumberFormat="1" applyFont="1" applyBorder="1"/>
    <xf numFmtId="0" fontId="37" fillId="0" borderId="0" xfId="394" applyFont="1" applyFill="1" applyBorder="1"/>
    <xf numFmtId="164" fontId="2" fillId="0" borderId="0" xfId="395" applyNumberFormat="1" applyFont="1" applyBorder="1"/>
    <xf numFmtId="42" fontId="34" fillId="0" borderId="0" xfId="458" applyNumberFormat="1" applyFont="1" applyBorder="1"/>
    <xf numFmtId="165" fontId="2" fillId="0" borderId="30" xfId="394" applyNumberFormat="1" applyFont="1" applyFill="1" applyBorder="1" applyAlignment="1">
      <alignment horizontal="right"/>
    </xf>
    <xf numFmtId="164" fontId="2" fillId="0" borderId="30" xfId="395" applyNumberFormat="1" applyFont="1" applyFill="1" applyBorder="1"/>
    <xf numFmtId="0" fontId="38" fillId="25" borderId="27" xfId="394" applyFont="1" applyFill="1" applyBorder="1"/>
    <xf numFmtId="2" fontId="3" fillId="25" borderId="28" xfId="394" applyNumberFormat="1" applyFont="1" applyFill="1" applyBorder="1" applyAlignment="1">
      <alignment horizontal="right"/>
    </xf>
    <xf numFmtId="42" fontId="3" fillId="25" borderId="29" xfId="458" applyNumberFormat="1" applyFont="1" applyFill="1" applyBorder="1"/>
    <xf numFmtId="0" fontId="36" fillId="0" borderId="0" xfId="394" applyFont="1" applyFill="1" applyBorder="1"/>
    <xf numFmtId="2" fontId="2" fillId="0" borderId="0" xfId="394" applyNumberFormat="1" applyFont="1" applyFill="1" applyBorder="1" applyAlignment="1">
      <alignment horizontal="right"/>
    </xf>
    <xf numFmtId="1" fontId="2" fillId="0" borderId="0" xfId="394" applyNumberFormat="1" applyFont="1" applyFill="1"/>
    <xf numFmtId="1" fontId="2" fillId="0" borderId="0" xfId="394" applyNumberFormat="1" applyFont="1" applyFill="1" applyBorder="1"/>
    <xf numFmtId="0" fontId="2" fillId="0" borderId="0" xfId="394" applyFont="1" applyFill="1" applyBorder="1"/>
    <xf numFmtId="164" fontId="2" fillId="0" borderId="0" xfId="394" applyNumberFormat="1" applyFont="1" applyFill="1" applyBorder="1"/>
    <xf numFmtId="42" fontId="34" fillId="0" borderId="0" xfId="458" applyNumberFormat="1" applyFont="1" applyFill="1" applyBorder="1"/>
    <xf numFmtId="0" fontId="3" fillId="28" borderId="16" xfId="394" applyFont="1" applyFill="1" applyBorder="1" applyAlignment="1">
      <alignment horizontal="left"/>
    </xf>
    <xf numFmtId="0" fontId="2" fillId="28" borderId="14" xfId="394" applyFont="1" applyFill="1" applyBorder="1" applyAlignment="1">
      <alignment horizontal="left"/>
    </xf>
    <xf numFmtId="42" fontId="3" fillId="28" borderId="12" xfId="458" applyNumberFormat="1" applyFont="1" applyFill="1" applyBorder="1" applyAlignment="1">
      <alignment horizontal="center"/>
    </xf>
    <xf numFmtId="0" fontId="34" fillId="0" borderId="0" xfId="394" applyFont="1" applyBorder="1"/>
    <xf numFmtId="0" fontId="34" fillId="0" borderId="0" xfId="394" applyFont="1"/>
    <xf numFmtId="0" fontId="3" fillId="28" borderId="39" xfId="394" applyFont="1" applyFill="1" applyBorder="1"/>
    <xf numFmtId="0" fontId="34" fillId="28" borderId="11" xfId="394" applyFont="1" applyFill="1" applyBorder="1"/>
    <xf numFmtId="0" fontId="2" fillId="28" borderId="11" xfId="394" applyFont="1" applyFill="1" applyBorder="1"/>
    <xf numFmtId="0" fontId="39" fillId="28" borderId="11" xfId="394" applyFont="1" applyFill="1" applyBorder="1"/>
    <xf numFmtId="42" fontId="2" fillId="28" borderId="41" xfId="394" applyNumberFormat="1" applyFont="1" applyFill="1" applyBorder="1"/>
    <xf numFmtId="0" fontId="3" fillId="0" borderId="30" xfId="394" applyFont="1" applyFill="1" applyBorder="1"/>
    <xf numFmtId="164" fontId="2" fillId="0" borderId="30" xfId="458" applyNumberFormat="1" applyFont="1" applyFill="1" applyBorder="1"/>
    <xf numFmtId="42" fontId="3" fillId="0" borderId="33" xfId="394" applyNumberFormat="1" applyFont="1" applyFill="1" applyBorder="1"/>
    <xf numFmtId="44" fontId="2" fillId="0" borderId="30" xfId="458" applyFont="1" applyFill="1" applyBorder="1" applyAlignment="1">
      <alignment horizontal="center"/>
    </xf>
    <xf numFmtId="0" fontId="3" fillId="0" borderId="0" xfId="394" applyFont="1" applyAlignment="1">
      <alignment horizontal="right"/>
    </xf>
    <xf numFmtId="42" fontId="3" fillId="0" borderId="0" xfId="458" applyNumberFormat="1" applyFont="1" applyAlignment="1">
      <alignment horizontal="center"/>
    </xf>
    <xf numFmtId="0" fontId="34" fillId="0" borderId="0" xfId="394" applyFont="1" applyBorder="1" applyAlignment="1">
      <alignment shrinkToFit="1"/>
    </xf>
    <xf numFmtId="0" fontId="2" fillId="0" borderId="0" xfId="394" applyFont="1" applyBorder="1" applyAlignment="1">
      <alignment shrinkToFit="1"/>
    </xf>
    <xf numFmtId="0" fontId="2" fillId="28" borderId="16" xfId="394" applyFont="1" applyFill="1" applyBorder="1" applyAlignment="1"/>
    <xf numFmtId="0" fontId="34" fillId="28" borderId="16" xfId="394" applyFont="1" applyFill="1" applyBorder="1" applyAlignment="1">
      <alignment horizontal="right"/>
    </xf>
    <xf numFmtId="42" fontId="41" fillId="28" borderId="12" xfId="394" applyNumberFormat="1" applyFont="1" applyFill="1" applyBorder="1" applyAlignment="1">
      <alignment horizontal="center"/>
    </xf>
    <xf numFmtId="42" fontId="2" fillId="0" borderId="0" xfId="395" applyNumberFormat="1" applyFont="1"/>
    <xf numFmtId="164" fontId="2" fillId="0" borderId="0" xfId="461" applyNumberFormat="1" applyFont="1"/>
    <xf numFmtId="42" fontId="2" fillId="27" borderId="0" xfId="395" applyNumberFormat="1" applyFont="1" applyFill="1"/>
    <xf numFmtId="166" fontId="1" fillId="0" borderId="0" xfId="271" applyNumberFormat="1" applyFont="1" applyBorder="1" applyAlignment="1">
      <alignment horizontal="center"/>
    </xf>
    <xf numFmtId="166" fontId="23" fillId="0" borderId="13" xfId="271" applyNumberFormat="1" applyFont="1" applyBorder="1" applyAlignment="1">
      <alignment horizontal="center"/>
    </xf>
    <xf numFmtId="166" fontId="24" fillId="0" borderId="0" xfId="271" applyNumberFormat="1" applyFont="1"/>
    <xf numFmtId="166" fontId="24" fillId="0" borderId="10" xfId="271" applyNumberFormat="1" applyFont="1" applyBorder="1"/>
    <xf numFmtId="166" fontId="24" fillId="0" borderId="0" xfId="271" applyNumberFormat="1" applyFont="1" applyBorder="1"/>
    <xf numFmtId="166" fontId="24" fillId="0" borderId="11" xfId="271" applyNumberFormat="1" applyFont="1" applyBorder="1"/>
    <xf numFmtId="166" fontId="0" fillId="0" borderId="0" xfId="271" applyNumberFormat="1" applyFont="1"/>
    <xf numFmtId="166" fontId="23" fillId="0" borderId="0" xfId="271" applyNumberFormat="1" applyFont="1"/>
    <xf numFmtId="166" fontId="24" fillId="0" borderId="11" xfId="271" applyNumberFormat="1" applyFont="1" applyFill="1" applyBorder="1"/>
    <xf numFmtId="166" fontId="23" fillId="0" borderId="15" xfId="271" applyNumberFormat="1" applyFont="1" applyBorder="1"/>
    <xf numFmtId="166" fontId="23" fillId="0" borderId="0" xfId="271" applyNumberFormat="1" applyFont="1" applyBorder="1" applyAlignment="1">
      <alignment horizontal="center"/>
    </xf>
    <xf numFmtId="43" fontId="29" fillId="0" borderId="0" xfId="0" applyNumberFormat="1" applyFont="1" applyFill="1"/>
    <xf numFmtId="166" fontId="1" fillId="0" borderId="0" xfId="271" applyNumberFormat="1" applyFont="1" applyFill="1" applyBorder="1" applyAlignment="1">
      <alignment horizontal="left"/>
    </xf>
    <xf numFmtId="0" fontId="1" fillId="0" borderId="0" xfId="0" applyFont="1"/>
    <xf numFmtId="44" fontId="2" fillId="0" borderId="0" xfId="395" applyNumberFormat="1" applyFont="1" applyFill="1"/>
    <xf numFmtId="0" fontId="2" fillId="0" borderId="0" xfId="394" applyFont="1" applyAlignment="1">
      <alignment horizontal="center"/>
    </xf>
    <xf numFmtId="0" fontId="2" fillId="0" borderId="0" xfId="394" applyFont="1" applyAlignment="1"/>
    <xf numFmtId="9" fontId="24" fillId="0" borderId="0" xfId="462" applyFont="1"/>
    <xf numFmtId="0" fontId="2" fillId="25" borderId="42" xfId="394" applyFont="1" applyFill="1" applyBorder="1"/>
    <xf numFmtId="0" fontId="36" fillId="25" borderId="43" xfId="394" applyFont="1" applyFill="1" applyBorder="1"/>
    <xf numFmtId="42" fontId="3" fillId="28" borderId="44" xfId="458" applyNumberFormat="1" applyFont="1" applyFill="1" applyBorder="1" applyAlignment="1">
      <alignment horizontal="center"/>
    </xf>
    <xf numFmtId="166" fontId="23" fillId="0" borderId="10" xfId="271" applyNumberFormat="1" applyFont="1" applyBorder="1"/>
    <xf numFmtId="44" fontId="35" fillId="0" borderId="20" xfId="458" applyFont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3" fillId="28" borderId="43" xfId="394" applyFont="1" applyFill="1" applyBorder="1" applyAlignment="1">
      <alignment horizontal="right"/>
    </xf>
    <xf numFmtId="0" fontId="2" fillId="28" borderId="10" xfId="394" applyFont="1" applyFill="1" applyBorder="1" applyAlignment="1"/>
    <xf numFmtId="0" fontId="25" fillId="24" borderId="0" xfId="394" applyFont="1" applyFill="1" applyAlignment="1">
      <alignment horizontal="center"/>
    </xf>
    <xf numFmtId="0" fontId="2" fillId="0" borderId="0" xfId="394" applyFont="1" applyAlignment="1">
      <alignment horizontal="center"/>
    </xf>
    <xf numFmtId="0" fontId="2" fillId="0" borderId="0" xfId="394" applyFont="1" applyAlignment="1"/>
    <xf numFmtId="0" fontId="32" fillId="24" borderId="0" xfId="394" applyFont="1" applyFill="1" applyAlignment="1">
      <alignment horizontal="center"/>
    </xf>
    <xf numFmtId="0" fontId="33" fillId="0" borderId="0" xfId="394" applyFont="1" applyAlignment="1">
      <alignment horizontal="center"/>
    </xf>
    <xf numFmtId="0" fontId="33" fillId="0" borderId="0" xfId="394" applyFont="1" applyAlignment="1"/>
    <xf numFmtId="0" fontId="26" fillId="24" borderId="0" xfId="394" applyFont="1" applyFill="1" applyAlignment="1">
      <alignment horizontal="center"/>
    </xf>
    <xf numFmtId="0" fontId="27" fillId="0" borderId="0" xfId="394" applyFont="1" applyAlignment="1">
      <alignment horizontal="center"/>
    </xf>
    <xf numFmtId="0" fontId="27" fillId="0" borderId="0" xfId="394" applyFont="1" applyAlignment="1"/>
    <xf numFmtId="0" fontId="3" fillId="0" borderId="0" xfId="394" applyFont="1" applyBorder="1" applyAlignment="1">
      <alignment horizontal="left"/>
    </xf>
    <xf numFmtId="44" fontId="2" fillId="0" borderId="0" xfId="458" applyFont="1" applyFill="1" applyAlignment="1">
      <alignment horizontal="left" shrinkToFit="1"/>
    </xf>
    <xf numFmtId="0" fontId="2" fillId="0" borderId="0" xfId="394" applyFont="1" applyFill="1" applyAlignment="1">
      <alignment horizontal="left" shrinkToFit="1"/>
    </xf>
  </cellXfs>
  <cellStyles count="463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3 3" xfId="6"/>
    <cellStyle name="20% - Accent1 4" xfId="7"/>
    <cellStyle name="20% - Accent1 4 2" xfId="8"/>
    <cellStyle name="20% - Accent1 4 3" xfId="9"/>
    <cellStyle name="20% - Accent1 5" xfId="10"/>
    <cellStyle name="20% - Accent2 2" xfId="11"/>
    <cellStyle name="20% - Accent2 2 2" xfId="12"/>
    <cellStyle name="20% - Accent2 2 3" xfId="13"/>
    <cellStyle name="20% - Accent2 3" xfId="14"/>
    <cellStyle name="20% - Accent2 3 2" xfId="15"/>
    <cellStyle name="20% - Accent2 3 3" xfId="16"/>
    <cellStyle name="20% - Accent2 4" xfId="17"/>
    <cellStyle name="20% - Accent2 4 2" xfId="18"/>
    <cellStyle name="20% - Accent2 4 3" xfId="19"/>
    <cellStyle name="20% - Accent2 5" xfId="20"/>
    <cellStyle name="20% - Accent3 2" xfId="21"/>
    <cellStyle name="20% - Accent3 2 2" xfId="22"/>
    <cellStyle name="20% - Accent3 2 3" xfId="23"/>
    <cellStyle name="20% - Accent3 3" xfId="24"/>
    <cellStyle name="20% - Accent3 3 2" xfId="25"/>
    <cellStyle name="20% - Accent3 3 3" xfId="26"/>
    <cellStyle name="20% - Accent3 4" xfId="27"/>
    <cellStyle name="20% - Accent3 4 2" xfId="28"/>
    <cellStyle name="20% - Accent3 4 3" xfId="29"/>
    <cellStyle name="20% - Accent3 5" xfId="30"/>
    <cellStyle name="20% - Accent4 2" xfId="31"/>
    <cellStyle name="20% - Accent4 2 2" xfId="32"/>
    <cellStyle name="20% - Accent4 2 3" xfId="33"/>
    <cellStyle name="20% - Accent4 3" xfId="34"/>
    <cellStyle name="20% - Accent4 3 2" xfId="35"/>
    <cellStyle name="20% - Accent4 3 3" xfId="36"/>
    <cellStyle name="20% - Accent4 4" xfId="37"/>
    <cellStyle name="20% - Accent4 4 2" xfId="38"/>
    <cellStyle name="20% - Accent4 4 3" xfId="39"/>
    <cellStyle name="20% - Accent4 5" xfId="40"/>
    <cellStyle name="20% - Accent5 2" xfId="41"/>
    <cellStyle name="20% - Accent5 2 2" xfId="42"/>
    <cellStyle name="20% - Accent5 2 3" xfId="43"/>
    <cellStyle name="20% - Accent5 3" xfId="44"/>
    <cellStyle name="20% - Accent5 3 2" xfId="45"/>
    <cellStyle name="20% - Accent5 3 3" xfId="46"/>
    <cellStyle name="20% - Accent5 4" xfId="47"/>
    <cellStyle name="20% - Accent5 4 2" xfId="48"/>
    <cellStyle name="20% - Accent5 4 3" xfId="49"/>
    <cellStyle name="20% - Accent5 5" xfId="50"/>
    <cellStyle name="20% - Accent6 2" xfId="51"/>
    <cellStyle name="20% - Accent6 2 2" xfId="52"/>
    <cellStyle name="20% - Accent6 2 3" xfId="53"/>
    <cellStyle name="20% - Accent6 3" xfId="54"/>
    <cellStyle name="20% - Accent6 3 2" xfId="55"/>
    <cellStyle name="20% - Accent6 3 3" xfId="56"/>
    <cellStyle name="20% - Accent6 4" xfId="57"/>
    <cellStyle name="20% - Accent6 4 2" xfId="58"/>
    <cellStyle name="20% - Accent6 4 3" xfId="59"/>
    <cellStyle name="20% - Accent6 5" xfId="60"/>
    <cellStyle name="40% - Accent1 2" xfId="61"/>
    <cellStyle name="40% - Accent1 2 2" xfId="62"/>
    <cellStyle name="40% - Accent1 2 3" xfId="63"/>
    <cellStyle name="40% - Accent1 3" xfId="64"/>
    <cellStyle name="40% - Accent1 3 2" xfId="65"/>
    <cellStyle name="40% - Accent1 3 3" xfId="66"/>
    <cellStyle name="40% - Accent1 4" xfId="67"/>
    <cellStyle name="40% - Accent1 4 2" xfId="68"/>
    <cellStyle name="40% - Accent1 4 3" xfId="69"/>
    <cellStyle name="40% - Accent1 5" xfId="70"/>
    <cellStyle name="40% - Accent2 2" xfId="71"/>
    <cellStyle name="40% - Accent2 2 2" xfId="72"/>
    <cellStyle name="40% - Accent2 2 3" xfId="73"/>
    <cellStyle name="40% - Accent2 3" xfId="74"/>
    <cellStyle name="40% - Accent2 3 2" xfId="75"/>
    <cellStyle name="40% - Accent2 3 3" xfId="76"/>
    <cellStyle name="40% - Accent2 4" xfId="77"/>
    <cellStyle name="40% - Accent2 4 2" xfId="78"/>
    <cellStyle name="40% - Accent2 4 3" xfId="79"/>
    <cellStyle name="40% - Accent2 5" xfId="80"/>
    <cellStyle name="40% - Accent3 2" xfId="81"/>
    <cellStyle name="40% - Accent3 2 2" xfId="82"/>
    <cellStyle name="40% - Accent3 2 3" xfId="83"/>
    <cellStyle name="40% - Accent3 3" xfId="84"/>
    <cellStyle name="40% - Accent3 3 2" xfId="85"/>
    <cellStyle name="40% - Accent3 3 3" xfId="86"/>
    <cellStyle name="40% - Accent3 4" xfId="87"/>
    <cellStyle name="40% - Accent3 4 2" xfId="88"/>
    <cellStyle name="40% - Accent3 4 3" xfId="89"/>
    <cellStyle name="40% - Accent3 5" xfId="90"/>
    <cellStyle name="40% - Accent4 2" xfId="91"/>
    <cellStyle name="40% - Accent4 2 2" xfId="92"/>
    <cellStyle name="40% - Accent4 2 3" xfId="93"/>
    <cellStyle name="40% - Accent4 3" xfId="94"/>
    <cellStyle name="40% - Accent4 3 2" xfId="95"/>
    <cellStyle name="40% - Accent4 3 3" xfId="96"/>
    <cellStyle name="40% - Accent4 4" xfId="97"/>
    <cellStyle name="40% - Accent4 4 2" xfId="98"/>
    <cellStyle name="40% - Accent4 4 3" xfId="99"/>
    <cellStyle name="40% - Accent4 5" xfId="100"/>
    <cellStyle name="40% - Accent5 2" xfId="101"/>
    <cellStyle name="40% - Accent5 2 2" xfId="102"/>
    <cellStyle name="40% - Accent5 2 3" xfId="103"/>
    <cellStyle name="40% - Accent5 3" xfId="104"/>
    <cellStyle name="40% - Accent5 3 2" xfId="105"/>
    <cellStyle name="40% - Accent5 3 3" xfId="106"/>
    <cellStyle name="40% - Accent5 4" xfId="107"/>
    <cellStyle name="40% - Accent5 4 2" xfId="108"/>
    <cellStyle name="40% - Accent5 4 3" xfId="109"/>
    <cellStyle name="40% - Accent5 5" xfId="110"/>
    <cellStyle name="40% - Accent6 2" xfId="111"/>
    <cellStyle name="40% - Accent6 2 2" xfId="112"/>
    <cellStyle name="40% - Accent6 2 3" xfId="113"/>
    <cellStyle name="40% - Accent6 3" xfId="114"/>
    <cellStyle name="40% - Accent6 3 2" xfId="115"/>
    <cellStyle name="40% - Accent6 3 3" xfId="116"/>
    <cellStyle name="40% - Accent6 4" xfId="117"/>
    <cellStyle name="40% - Accent6 4 2" xfId="118"/>
    <cellStyle name="40% - Accent6 4 3" xfId="119"/>
    <cellStyle name="40% - Accent6 5" xfId="120"/>
    <cellStyle name="60% - Accent1 2" xfId="121"/>
    <cellStyle name="60% - Accent1 2 2" xfId="122"/>
    <cellStyle name="60% - Accent1 2 3" xfId="123"/>
    <cellStyle name="60% - Accent1 3" xfId="124"/>
    <cellStyle name="60% - Accent1 3 2" xfId="125"/>
    <cellStyle name="60% - Accent1 3 3" xfId="126"/>
    <cellStyle name="60% - Accent1 4" xfId="127"/>
    <cellStyle name="60% - Accent1 4 2" xfId="128"/>
    <cellStyle name="60% - Accent1 4 3" xfId="129"/>
    <cellStyle name="60% - Accent1 5" xfId="130"/>
    <cellStyle name="60% - Accent2 2" xfId="131"/>
    <cellStyle name="60% - Accent2 2 2" xfId="132"/>
    <cellStyle name="60% - Accent2 2 3" xfId="133"/>
    <cellStyle name="60% - Accent2 3" xfId="134"/>
    <cellStyle name="60% - Accent2 3 2" xfId="135"/>
    <cellStyle name="60% - Accent2 3 3" xfId="136"/>
    <cellStyle name="60% - Accent2 4" xfId="137"/>
    <cellStyle name="60% - Accent2 4 2" xfId="138"/>
    <cellStyle name="60% - Accent2 4 3" xfId="139"/>
    <cellStyle name="60% - Accent2 5" xfId="140"/>
    <cellStyle name="60% - Accent3 2" xfId="141"/>
    <cellStyle name="60% - Accent3 2 2" xfId="142"/>
    <cellStyle name="60% - Accent3 2 3" xfId="143"/>
    <cellStyle name="60% - Accent3 3" xfId="144"/>
    <cellStyle name="60% - Accent3 3 2" xfId="145"/>
    <cellStyle name="60% - Accent3 3 3" xfId="146"/>
    <cellStyle name="60% - Accent3 4" xfId="147"/>
    <cellStyle name="60% - Accent3 4 2" xfId="148"/>
    <cellStyle name="60% - Accent3 4 3" xfId="149"/>
    <cellStyle name="60% - Accent3 5" xfId="150"/>
    <cellStyle name="60% - Accent4 2" xfId="151"/>
    <cellStyle name="60% - Accent4 2 2" xfId="152"/>
    <cellStyle name="60% - Accent4 2 3" xfId="153"/>
    <cellStyle name="60% - Accent4 3" xfId="154"/>
    <cellStyle name="60% - Accent4 3 2" xfId="155"/>
    <cellStyle name="60% - Accent4 3 3" xfId="156"/>
    <cellStyle name="60% - Accent4 4" xfId="157"/>
    <cellStyle name="60% - Accent4 4 2" xfId="158"/>
    <cellStyle name="60% - Accent4 4 3" xfId="159"/>
    <cellStyle name="60% - Accent4 5" xfId="160"/>
    <cellStyle name="60% - Accent5 2" xfId="161"/>
    <cellStyle name="60% - Accent5 2 2" xfId="162"/>
    <cellStyle name="60% - Accent5 2 3" xfId="163"/>
    <cellStyle name="60% - Accent5 3" xfId="164"/>
    <cellStyle name="60% - Accent5 3 2" xfId="165"/>
    <cellStyle name="60% - Accent5 3 3" xfId="166"/>
    <cellStyle name="60% - Accent5 4" xfId="167"/>
    <cellStyle name="60% - Accent5 4 2" xfId="168"/>
    <cellStyle name="60% - Accent5 4 3" xfId="169"/>
    <cellStyle name="60% - Accent5 5" xfId="170"/>
    <cellStyle name="60% - Accent6 2" xfId="171"/>
    <cellStyle name="60% - Accent6 2 2" xfId="172"/>
    <cellStyle name="60% - Accent6 2 3" xfId="173"/>
    <cellStyle name="60% - Accent6 3" xfId="174"/>
    <cellStyle name="60% - Accent6 3 2" xfId="175"/>
    <cellStyle name="60% - Accent6 3 3" xfId="176"/>
    <cellStyle name="60% - Accent6 4" xfId="177"/>
    <cellStyle name="60% - Accent6 4 2" xfId="178"/>
    <cellStyle name="60% - Accent6 4 3" xfId="179"/>
    <cellStyle name="60% - Accent6 5" xfId="180"/>
    <cellStyle name="Accent1 2" xfId="181"/>
    <cellStyle name="Accent1 2 2" xfId="182"/>
    <cellStyle name="Accent1 2 3" xfId="183"/>
    <cellStyle name="Accent1 3" xfId="184"/>
    <cellStyle name="Accent1 3 2" xfId="185"/>
    <cellStyle name="Accent1 3 3" xfId="186"/>
    <cellStyle name="Accent1 4" xfId="187"/>
    <cellStyle name="Accent1 4 2" xfId="188"/>
    <cellStyle name="Accent1 4 3" xfId="189"/>
    <cellStyle name="Accent1 5" xfId="190"/>
    <cellStyle name="Accent2 2" xfId="191"/>
    <cellStyle name="Accent2 2 2" xfId="192"/>
    <cellStyle name="Accent2 2 3" xfId="193"/>
    <cellStyle name="Accent2 3" xfId="194"/>
    <cellStyle name="Accent2 3 2" xfId="195"/>
    <cellStyle name="Accent2 3 3" xfId="196"/>
    <cellStyle name="Accent2 4" xfId="197"/>
    <cellStyle name="Accent2 4 2" xfId="198"/>
    <cellStyle name="Accent2 4 3" xfId="199"/>
    <cellStyle name="Accent2 5" xfId="200"/>
    <cellStyle name="Accent3 2" xfId="201"/>
    <cellStyle name="Accent3 2 2" xfId="202"/>
    <cellStyle name="Accent3 2 3" xfId="203"/>
    <cellStyle name="Accent3 3" xfId="204"/>
    <cellStyle name="Accent3 3 2" xfId="205"/>
    <cellStyle name="Accent3 3 3" xfId="206"/>
    <cellStyle name="Accent3 4" xfId="207"/>
    <cellStyle name="Accent3 4 2" xfId="208"/>
    <cellStyle name="Accent3 4 3" xfId="209"/>
    <cellStyle name="Accent3 5" xfId="210"/>
    <cellStyle name="Accent4 2" xfId="211"/>
    <cellStyle name="Accent4 2 2" xfId="212"/>
    <cellStyle name="Accent4 2 3" xfId="213"/>
    <cellStyle name="Accent4 3" xfId="214"/>
    <cellStyle name="Accent4 3 2" xfId="215"/>
    <cellStyle name="Accent4 3 3" xfId="216"/>
    <cellStyle name="Accent4 4" xfId="217"/>
    <cellStyle name="Accent4 4 2" xfId="218"/>
    <cellStyle name="Accent4 4 3" xfId="219"/>
    <cellStyle name="Accent4 5" xfId="220"/>
    <cellStyle name="Accent5 2" xfId="221"/>
    <cellStyle name="Accent5 2 2" xfId="222"/>
    <cellStyle name="Accent5 2 3" xfId="223"/>
    <cellStyle name="Accent5 3" xfId="224"/>
    <cellStyle name="Accent5 3 2" xfId="225"/>
    <cellStyle name="Accent5 3 3" xfId="226"/>
    <cellStyle name="Accent5 4" xfId="227"/>
    <cellStyle name="Accent5 4 2" xfId="228"/>
    <cellStyle name="Accent5 4 3" xfId="229"/>
    <cellStyle name="Accent5 5" xfId="230"/>
    <cellStyle name="Accent6 2" xfId="231"/>
    <cellStyle name="Accent6 2 2" xfId="232"/>
    <cellStyle name="Accent6 2 3" xfId="233"/>
    <cellStyle name="Accent6 3" xfId="234"/>
    <cellStyle name="Accent6 3 2" xfId="235"/>
    <cellStyle name="Accent6 3 3" xfId="236"/>
    <cellStyle name="Accent6 4" xfId="237"/>
    <cellStyle name="Accent6 4 2" xfId="238"/>
    <cellStyle name="Accent6 4 3" xfId="239"/>
    <cellStyle name="Accent6 5" xfId="240"/>
    <cellStyle name="Bad 2" xfId="241"/>
    <cellStyle name="Bad 2 2" xfId="242"/>
    <cellStyle name="Bad 2 3" xfId="243"/>
    <cellStyle name="Bad 3" xfId="244"/>
    <cellStyle name="Bad 3 2" xfId="245"/>
    <cellStyle name="Bad 3 3" xfId="246"/>
    <cellStyle name="Bad 4" xfId="247"/>
    <cellStyle name="Bad 4 2" xfId="248"/>
    <cellStyle name="Bad 4 3" xfId="249"/>
    <cellStyle name="Bad 5" xfId="250"/>
    <cellStyle name="Calculation 2" xfId="251"/>
    <cellStyle name="Calculation 2 2" xfId="252"/>
    <cellStyle name="Calculation 2 3" xfId="253"/>
    <cellStyle name="Calculation 3" xfId="254"/>
    <cellStyle name="Calculation 3 2" xfId="255"/>
    <cellStyle name="Calculation 3 3" xfId="256"/>
    <cellStyle name="Calculation 4" xfId="257"/>
    <cellStyle name="Calculation 4 2" xfId="258"/>
    <cellStyle name="Calculation 4 3" xfId="259"/>
    <cellStyle name="Calculation 5" xfId="260"/>
    <cellStyle name="Check Cell 2" xfId="261"/>
    <cellStyle name="Check Cell 2 2" xfId="262"/>
    <cellStyle name="Check Cell 2 3" xfId="263"/>
    <cellStyle name="Check Cell 3" xfId="264"/>
    <cellStyle name="Check Cell 3 2" xfId="265"/>
    <cellStyle name="Check Cell 3 3" xfId="266"/>
    <cellStyle name="Check Cell 4" xfId="267"/>
    <cellStyle name="Check Cell 4 2" xfId="268"/>
    <cellStyle name="Check Cell 4 3" xfId="269"/>
    <cellStyle name="Check Cell 5" xfId="270"/>
    <cellStyle name="Comma" xfId="271" builtinId="3"/>
    <cellStyle name="Comma 11" xfId="272"/>
    <cellStyle name="Comma 11 2" xfId="273"/>
    <cellStyle name="Comma 11 3" xfId="274"/>
    <cellStyle name="Comma 13" xfId="275"/>
    <cellStyle name="Comma 16" xfId="276"/>
    <cellStyle name="Comma 16 2" xfId="277"/>
    <cellStyle name="Comma 16 3" xfId="278"/>
    <cellStyle name="Comma 18" xfId="279"/>
    <cellStyle name="Comma 19" xfId="280"/>
    <cellStyle name="Comma 2 2" xfId="281"/>
    <cellStyle name="Comma 4 2" xfId="282"/>
    <cellStyle name="Comma 4 3" xfId="283"/>
    <cellStyle name="Comma 8" xfId="284"/>
    <cellStyle name="Currency" xfId="461" builtinId="4"/>
    <cellStyle name="Currency 18" xfId="285"/>
    <cellStyle name="Currency 19" xfId="286"/>
    <cellStyle name="Currency 2" xfId="458"/>
    <cellStyle name="Currency 2 2" xfId="287"/>
    <cellStyle name="Explanatory Text 2" xfId="288"/>
    <cellStyle name="Explanatory Text 2 2" xfId="289"/>
    <cellStyle name="Explanatory Text 2 3" xfId="290"/>
    <cellStyle name="Explanatory Text 3" xfId="291"/>
    <cellStyle name="Explanatory Text 3 2" xfId="292"/>
    <cellStyle name="Explanatory Text 3 3" xfId="293"/>
    <cellStyle name="Explanatory Text 4" xfId="294"/>
    <cellStyle name="Explanatory Text 4 2" xfId="295"/>
    <cellStyle name="Explanatory Text 4 3" xfId="296"/>
    <cellStyle name="Explanatory Text 5" xfId="297"/>
    <cellStyle name="Good 2" xfId="298"/>
    <cellStyle name="Good 2 2" xfId="299"/>
    <cellStyle name="Good 2 3" xfId="300"/>
    <cellStyle name="Good 3" xfId="301"/>
    <cellStyle name="Good 3 2" xfId="302"/>
    <cellStyle name="Good 3 3" xfId="303"/>
    <cellStyle name="Good 4" xfId="304"/>
    <cellStyle name="Good 4 2" xfId="305"/>
    <cellStyle name="Good 4 3" xfId="306"/>
    <cellStyle name="Good 5" xfId="307"/>
    <cellStyle name="Heading 1 2" xfId="308"/>
    <cellStyle name="Heading 1 2 2" xfId="309"/>
    <cellStyle name="Heading 1 2 3" xfId="310"/>
    <cellStyle name="Heading 1 3" xfId="311"/>
    <cellStyle name="Heading 1 3 2" xfId="312"/>
    <cellStyle name="Heading 1 3 3" xfId="313"/>
    <cellStyle name="Heading 1 4" xfId="314"/>
    <cellStyle name="Heading 1 4 2" xfId="315"/>
    <cellStyle name="Heading 1 4 3" xfId="316"/>
    <cellStyle name="Heading 1 5" xfId="317"/>
    <cellStyle name="Heading 2 2" xfId="318"/>
    <cellStyle name="Heading 2 2 2" xfId="319"/>
    <cellStyle name="Heading 2 2 3" xfId="320"/>
    <cellStyle name="Heading 2 3" xfId="321"/>
    <cellStyle name="Heading 2 3 2" xfId="322"/>
    <cellStyle name="Heading 2 3 3" xfId="323"/>
    <cellStyle name="Heading 2 4" xfId="324"/>
    <cellStyle name="Heading 2 4 2" xfId="325"/>
    <cellStyle name="Heading 2 4 3" xfId="326"/>
    <cellStyle name="Heading 2 5" xfId="327"/>
    <cellStyle name="Heading 3 2" xfId="328"/>
    <cellStyle name="Heading 3 2 2" xfId="329"/>
    <cellStyle name="Heading 3 2 3" xfId="330"/>
    <cellStyle name="Heading 3 3" xfId="331"/>
    <cellStyle name="Heading 3 3 2" xfId="332"/>
    <cellStyle name="Heading 3 3 3" xfId="333"/>
    <cellStyle name="Heading 3 4" xfId="334"/>
    <cellStyle name="Heading 3 4 2" xfId="335"/>
    <cellStyle name="Heading 3 4 3" xfId="336"/>
    <cellStyle name="Heading 3 5" xfId="337"/>
    <cellStyle name="Heading 4 2" xfId="338"/>
    <cellStyle name="Heading 4 2 2" xfId="339"/>
    <cellStyle name="Heading 4 2 3" xfId="340"/>
    <cellStyle name="Heading 4 3" xfId="341"/>
    <cellStyle name="Heading 4 3 2" xfId="342"/>
    <cellStyle name="Heading 4 3 3" xfId="343"/>
    <cellStyle name="Heading 4 4" xfId="344"/>
    <cellStyle name="Heading 4 4 2" xfId="345"/>
    <cellStyle name="Heading 4 4 3" xfId="346"/>
    <cellStyle name="Heading 4 5" xfId="347"/>
    <cellStyle name="Input 2" xfId="348"/>
    <cellStyle name="Input 2 2" xfId="349"/>
    <cellStyle name="Input 2 3" xfId="350"/>
    <cellStyle name="Input 3" xfId="351"/>
    <cellStyle name="Input 3 2" xfId="352"/>
    <cellStyle name="Input 3 3" xfId="353"/>
    <cellStyle name="Input 4" xfId="354"/>
    <cellStyle name="Input 4 2" xfId="355"/>
    <cellStyle name="Input 4 3" xfId="356"/>
    <cellStyle name="Input 5" xfId="357"/>
    <cellStyle name="Linked Cell 2" xfId="358"/>
    <cellStyle name="Linked Cell 2 2" xfId="359"/>
    <cellStyle name="Linked Cell 2 3" xfId="360"/>
    <cellStyle name="Linked Cell 3" xfId="361"/>
    <cellStyle name="Linked Cell 3 2" xfId="362"/>
    <cellStyle name="Linked Cell 3 3" xfId="363"/>
    <cellStyle name="Linked Cell 4" xfId="364"/>
    <cellStyle name="Linked Cell 4 2" xfId="365"/>
    <cellStyle name="Linked Cell 4 3" xfId="366"/>
    <cellStyle name="Linked Cell 5" xfId="367"/>
    <cellStyle name="Neutral 2" xfId="368"/>
    <cellStyle name="Neutral 2 2" xfId="369"/>
    <cellStyle name="Neutral 2 3" xfId="370"/>
    <cellStyle name="Neutral 3" xfId="371"/>
    <cellStyle name="Neutral 3 2" xfId="372"/>
    <cellStyle name="Neutral 3 3" xfId="373"/>
    <cellStyle name="Neutral 4" xfId="374"/>
    <cellStyle name="Neutral 4 2" xfId="375"/>
    <cellStyle name="Neutral 4 3" xfId="376"/>
    <cellStyle name="Neutral 5" xfId="377"/>
    <cellStyle name="Normal" xfId="0" builtinId="0"/>
    <cellStyle name="Normal 10" xfId="378"/>
    <cellStyle name="Normal 10 2" xfId="379"/>
    <cellStyle name="Normal 10 3" xfId="380"/>
    <cellStyle name="Normal 11 2" xfId="460"/>
    <cellStyle name="Normal 12" xfId="381"/>
    <cellStyle name="Normal 12 2" xfId="382"/>
    <cellStyle name="Normal 12 3" xfId="383"/>
    <cellStyle name="Normal 14" xfId="384"/>
    <cellStyle name="Normal 14 2" xfId="385"/>
    <cellStyle name="Normal 14 3" xfId="386"/>
    <cellStyle name="Normal 15" xfId="387"/>
    <cellStyle name="Normal 15 2" xfId="388"/>
    <cellStyle name="Normal 15 3" xfId="389"/>
    <cellStyle name="Normal 17" xfId="390"/>
    <cellStyle name="Normal 17 2" xfId="391"/>
    <cellStyle name="Normal 17 3" xfId="392"/>
    <cellStyle name="Normal 18" xfId="393"/>
    <cellStyle name="Normal 2" xfId="394"/>
    <cellStyle name="Normal 2 2" xfId="395"/>
    <cellStyle name="Normal 2 3" xfId="396"/>
    <cellStyle name="Normal 3" xfId="459"/>
    <cellStyle name="Normal 5" xfId="397"/>
    <cellStyle name="Normal 5 2" xfId="398"/>
    <cellStyle name="Normal 5 3" xfId="399"/>
    <cellStyle name="Normal 6" xfId="400"/>
    <cellStyle name="Normal 6 2" xfId="401"/>
    <cellStyle name="Normal 6 3" xfId="402"/>
    <cellStyle name="Normal 9" xfId="403"/>
    <cellStyle name="Normal 9 2" xfId="404"/>
    <cellStyle name="Normal 9 3" xfId="405"/>
    <cellStyle name="Note 2" xfId="406"/>
    <cellStyle name="Note 2 2" xfId="407"/>
    <cellStyle name="Note 2 3" xfId="408"/>
    <cellStyle name="Note 3" xfId="409"/>
    <cellStyle name="Note 3 2" xfId="410"/>
    <cellStyle name="Note 3 3" xfId="411"/>
    <cellStyle name="Note 4" xfId="412"/>
    <cellStyle name="Note 4 2" xfId="413"/>
    <cellStyle name="Note 4 3" xfId="414"/>
    <cellStyle name="Note 5" xfId="415"/>
    <cellStyle name="Output 2" xfId="416"/>
    <cellStyle name="Output 2 2" xfId="417"/>
    <cellStyle name="Output 2 3" xfId="418"/>
    <cellStyle name="Output 3" xfId="419"/>
    <cellStyle name="Output 3 2" xfId="420"/>
    <cellStyle name="Output 3 3" xfId="421"/>
    <cellStyle name="Output 4" xfId="422"/>
    <cellStyle name="Output 4 2" xfId="423"/>
    <cellStyle name="Output 4 3" xfId="424"/>
    <cellStyle name="Output 5" xfId="425"/>
    <cellStyle name="Percent" xfId="462" builtinId="5"/>
    <cellStyle name="Percent 2 2" xfId="426"/>
    <cellStyle name="Percent 5" xfId="427"/>
    <cellStyle name="Title 2" xfId="428"/>
    <cellStyle name="Title 2 2" xfId="429"/>
    <cellStyle name="Title 2 3" xfId="430"/>
    <cellStyle name="Title 3" xfId="431"/>
    <cellStyle name="Title 3 2" xfId="432"/>
    <cellStyle name="Title 3 3" xfId="433"/>
    <cellStyle name="Title 4" xfId="434"/>
    <cellStyle name="Title 4 2" xfId="435"/>
    <cellStyle name="Title 4 3" xfId="436"/>
    <cellStyle name="Title 5" xfId="437"/>
    <cellStyle name="Total 2" xfId="438"/>
    <cellStyle name="Total 2 2" xfId="439"/>
    <cellStyle name="Total 2 3" xfId="440"/>
    <cellStyle name="Total 3" xfId="441"/>
    <cellStyle name="Total 3 2" xfId="442"/>
    <cellStyle name="Total 3 3" xfId="443"/>
    <cellStyle name="Total 4" xfId="444"/>
    <cellStyle name="Total 4 2" xfId="445"/>
    <cellStyle name="Total 4 3" xfId="446"/>
    <cellStyle name="Total 5" xfId="447"/>
    <cellStyle name="Warning Text 2" xfId="448"/>
    <cellStyle name="Warning Text 2 2" xfId="449"/>
    <cellStyle name="Warning Text 2 3" xfId="450"/>
    <cellStyle name="Warning Text 3" xfId="451"/>
    <cellStyle name="Warning Text 3 2" xfId="452"/>
    <cellStyle name="Warning Text 3 3" xfId="453"/>
    <cellStyle name="Warning Text 4" xfId="454"/>
    <cellStyle name="Warning Text 4 2" xfId="455"/>
    <cellStyle name="Warning Text 4 3" xfId="456"/>
    <cellStyle name="Warning Text 5" xfId="45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hantelle%20Wright.SDWRIGHT\My%20Documents\Business%20Documents\APA%20Budget\Achievement%20Preparatory%20Academy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ONSOMONTALVO%20CHARTER%20SCHOOLS\FY2016%20CHARTER%20SCHOOLS%20JUNE%20BOOK\FY2016%20CHARTER%20SCHOOLS%20PAYMENTS\FY2016%20Q2%20PAYMENT%20OCTOBER%2023,%202015\Q1Q2FY2016%20CHARTER%20$677,743,501%20CFO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4"/>
      <sheetName val="ISp2y"/>
      <sheetName val="ISp5y"/>
      <sheetName val="ISpCF0"/>
      <sheetName val="ISpCF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All_1.1.12"/>
      <sheetName val="Data inputs"/>
      <sheetName val="APA"/>
      <sheetName val="Appletree"/>
      <sheetName val="AcademyHope"/>
      <sheetName val="CHILDRENS G"/>
      <sheetName val="Basis"/>
      <sheetName val="Bridges"/>
      <sheetName val="BRIYA"/>
      <sheetName val="CapitalCity"/>
      <sheetName val="Carlos"/>
      <sheetName val="Cedartree"/>
      <sheetName val="CenterCity"/>
      <sheetName val="CHAVEZ"/>
      <sheetName val="CAPCS"/>
      <sheetName val="Community College Prep"/>
      <sheetName val="CreativeMinds"/>
      <sheetName val="DC Bilingual"/>
      <sheetName val="DC Prep"/>
      <sheetName val="DC Scholars"/>
      <sheetName val="DEMOCRACYPREP"/>
      <sheetName val="DCI"/>
      <sheetName val="EL Haynes"/>
      <sheetName val="Eagle"/>
      <sheetName val="ECA"/>
      <sheetName val="EWS"/>
      <sheetName val="Excel"/>
      <sheetName val="Friendship"/>
      <sheetName val="Harmony"/>
      <sheetName val="HopeCommunity"/>
      <sheetName val="Howard U"/>
      <sheetName val="IDEA"/>
      <sheetName val="Ideal"/>
      <sheetName val="Ingenuity"/>
      <sheetName val="Inspired"/>
      <sheetName val="KINGSMAN"/>
      <sheetName val="KIPP"/>
      <sheetName val="YouthBuild"/>
      <sheetName val="LAMB"/>
      <sheetName val="LAYCCareer"/>
      <sheetName val="Lee"/>
      <sheetName val="MMB"/>
      <sheetName val="Maya"/>
      <sheetName val="Meridian"/>
      <sheetName val="MONUMENT"/>
      <sheetName val="Mundo"/>
      <sheetName val="NCP"/>
      <sheetName val="Paul"/>
      <sheetName val="Perry Street"/>
      <sheetName val="Potomac"/>
      <sheetName val="Richard Wright"/>
      <sheetName val="Roots"/>
      <sheetName val="SEED"/>
      <sheetName val="Sela"/>
      <sheetName val="Shining Stars"/>
      <sheetName val="Somerset"/>
      <sheetName val="St. Coletta"/>
      <sheetName val="Next Step"/>
      <sheetName val="TMA"/>
      <sheetName val="TOL"/>
      <sheetName val="Two Rivers"/>
      <sheetName val="WASH GLOBAL"/>
      <sheetName val="Washington Latin"/>
      <sheetName val="WMST"/>
      <sheetName val="WEDJ"/>
      <sheetName val="Options"/>
      <sheetName val="Wash Yu Ying"/>
      <sheetName val="FY2016 systemtotaFINAL"/>
      <sheetName val="Q1FY2016 BUDGETPAYMENTS"/>
      <sheetName val="FY16GROSSPAYMENTS"/>
      <sheetName val="Q2FY2016 PAYMENTS"/>
      <sheetName val="PAYMENTS FY2015 BUDGET"/>
      <sheetName val="FY15 Q1 PAYMENTS"/>
      <sheetName val="FY15OCTOBER enrollCOUNT"/>
    </sheetNames>
    <sheetDataSet>
      <sheetData sheetId="0" refreshError="1"/>
      <sheetData sheetId="1" refreshError="1">
        <row r="2">
          <cell r="E2">
            <v>0</v>
          </cell>
        </row>
        <row r="11">
          <cell r="W11">
            <v>0</v>
          </cell>
        </row>
        <row r="12">
          <cell r="W12">
            <v>0</v>
          </cell>
        </row>
        <row r="13">
          <cell r="W13">
            <v>0</v>
          </cell>
        </row>
        <row r="14">
          <cell r="W14">
            <v>0</v>
          </cell>
        </row>
        <row r="15">
          <cell r="W15">
            <v>0</v>
          </cell>
        </row>
        <row r="16">
          <cell r="W16">
            <v>0</v>
          </cell>
        </row>
        <row r="17">
          <cell r="W17">
            <v>0</v>
          </cell>
        </row>
        <row r="18">
          <cell r="W18">
            <v>0</v>
          </cell>
        </row>
        <row r="19">
          <cell r="W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C16" sqref="C16"/>
    </sheetView>
  </sheetViews>
  <sheetFormatPr defaultColWidth="7.42578125" defaultRowHeight="12.75" x14ac:dyDescent="0.2"/>
  <cols>
    <col min="1" max="1" width="31.42578125" style="8" customWidth="1"/>
    <col min="2" max="2" width="13.42578125" style="8" customWidth="1"/>
    <col min="3" max="3" width="15.7109375" style="8" customWidth="1"/>
    <col min="4" max="4" width="18.42578125" style="8" hidden="1" customWidth="1"/>
    <col min="5" max="5" width="15.7109375" style="8" hidden="1" customWidth="1"/>
    <col min="6" max="6" width="23.7109375" style="8" customWidth="1"/>
    <col min="7" max="7" width="22.42578125" style="8" customWidth="1"/>
    <col min="8" max="8" width="7.42578125" style="6"/>
    <col min="9" max="9" width="9.85546875" style="6" bestFit="1" customWidth="1"/>
    <col min="10" max="16384" width="7.42578125" style="6"/>
  </cols>
  <sheetData>
    <row r="1" spans="1:9" ht="18.75" x14ac:dyDescent="0.3">
      <c r="A1" s="194" t="s">
        <v>0</v>
      </c>
      <c r="B1" s="195"/>
      <c r="C1" s="195"/>
      <c r="D1" s="195"/>
      <c r="E1" s="195"/>
      <c r="F1" s="196"/>
      <c r="G1" s="196"/>
    </row>
    <row r="2" spans="1:9" ht="18.75" x14ac:dyDescent="0.3">
      <c r="A2" s="194" t="s">
        <v>1</v>
      </c>
      <c r="B2" s="195"/>
      <c r="C2" s="195"/>
      <c r="D2" s="195"/>
      <c r="E2" s="195"/>
      <c r="F2" s="196"/>
      <c r="G2" s="196"/>
    </row>
    <row r="3" spans="1:9" ht="22.5" x14ac:dyDescent="0.3">
      <c r="A3" s="197" t="s">
        <v>2</v>
      </c>
      <c r="B3" s="198"/>
      <c r="C3" s="198"/>
      <c r="D3" s="198"/>
      <c r="E3" s="198"/>
      <c r="F3" s="198"/>
      <c r="G3" s="199"/>
    </row>
    <row r="4" spans="1:9" ht="22.5" x14ac:dyDescent="0.3">
      <c r="A4" s="197" t="s">
        <v>3</v>
      </c>
      <c r="B4" s="197"/>
      <c r="C4" s="197"/>
      <c r="D4" s="197"/>
      <c r="E4" s="197"/>
      <c r="F4" s="197"/>
      <c r="G4" s="197"/>
    </row>
    <row r="5" spans="1:9" ht="19.5" thickBot="1" x14ac:dyDescent="0.35">
      <c r="A5" s="200" t="s">
        <v>4</v>
      </c>
      <c r="B5" s="201"/>
      <c r="C5" s="201"/>
      <c r="D5" s="201"/>
      <c r="E5" s="201"/>
      <c r="F5" s="202"/>
      <c r="G5" s="202"/>
    </row>
    <row r="6" spans="1:9" ht="13.5" thickBot="1" x14ac:dyDescent="0.25">
      <c r="A6" s="203" t="s">
        <v>5</v>
      </c>
      <c r="B6" s="196"/>
      <c r="C6" s="22">
        <v>9682</v>
      </c>
      <c r="D6" s="23"/>
      <c r="E6" s="204">
        <f>C6*0.02</f>
        <v>193.64000000000001</v>
      </c>
      <c r="F6" s="205"/>
      <c r="G6" s="205"/>
      <c r="I6" s="182">
        <f>E6*350</f>
        <v>67774</v>
      </c>
    </row>
    <row r="7" spans="1:9" ht="15" x14ac:dyDescent="0.25">
      <c r="A7" s="24" t="s">
        <v>6</v>
      </c>
      <c r="B7" s="24"/>
      <c r="C7" s="25">
        <v>3124</v>
      </c>
      <c r="D7" s="190"/>
      <c r="E7" s="191"/>
      <c r="F7" s="191"/>
      <c r="G7" s="191"/>
      <c r="I7" s="6">
        <f>C6*350</f>
        <v>3388700</v>
      </c>
    </row>
    <row r="8" spans="1:9" x14ac:dyDescent="0.2">
      <c r="A8" s="24" t="s">
        <v>7</v>
      </c>
      <c r="B8" s="24"/>
      <c r="C8" s="26">
        <v>8395</v>
      </c>
      <c r="D8" s="23"/>
      <c r="E8" s="183"/>
      <c r="F8" s="27"/>
      <c r="G8" s="28"/>
    </row>
    <row r="9" spans="1:9" x14ac:dyDescent="0.2">
      <c r="A9" s="24"/>
      <c r="B9" s="24"/>
      <c r="C9" s="29"/>
      <c r="D9" s="29"/>
      <c r="E9" s="30"/>
      <c r="F9" s="27"/>
      <c r="G9" s="28"/>
    </row>
    <row r="10" spans="1:9" x14ac:dyDescent="0.2">
      <c r="A10" s="24" t="s">
        <v>8</v>
      </c>
      <c r="B10" s="24"/>
      <c r="C10" s="30" t="s">
        <v>9</v>
      </c>
      <c r="D10" s="29"/>
      <c r="E10" s="30"/>
      <c r="F10" s="27"/>
      <c r="G10" s="28"/>
    </row>
    <row r="11" spans="1:9" ht="13.5" thickBot="1" x14ac:dyDescent="0.25">
      <c r="A11" s="24"/>
      <c r="B11" s="24"/>
      <c r="C11" s="29"/>
      <c r="D11" s="29"/>
      <c r="E11" s="30"/>
      <c r="F11" s="27"/>
      <c r="G11" s="28"/>
    </row>
    <row r="12" spans="1:9" ht="25.5" x14ac:dyDescent="0.2">
      <c r="A12" s="31" t="s">
        <v>10</v>
      </c>
      <c r="B12" s="32"/>
      <c r="C12" s="33" t="s">
        <v>11</v>
      </c>
      <c r="D12" s="34" t="s">
        <v>12</v>
      </c>
      <c r="E12" s="35" t="s">
        <v>13</v>
      </c>
      <c r="F12" s="36" t="s">
        <v>14</v>
      </c>
      <c r="G12" s="37" t="s">
        <v>13</v>
      </c>
    </row>
    <row r="13" spans="1:9" ht="13.5" thickBot="1" x14ac:dyDescent="0.25">
      <c r="A13" s="38" t="s">
        <v>15</v>
      </c>
      <c r="B13" s="39" t="s">
        <v>16</v>
      </c>
      <c r="C13" s="40" t="s">
        <v>17</v>
      </c>
      <c r="D13" s="39" t="s">
        <v>18</v>
      </c>
      <c r="E13" s="39" t="s">
        <v>19</v>
      </c>
      <c r="F13" s="41" t="s">
        <v>20</v>
      </c>
      <c r="G13" s="42" t="s">
        <v>21</v>
      </c>
    </row>
    <row r="14" spans="1:9" x14ac:dyDescent="0.2">
      <c r="A14" s="43" t="s">
        <v>22</v>
      </c>
      <c r="B14" s="44">
        <v>1.34</v>
      </c>
      <c r="C14" s="45">
        <v>45</v>
      </c>
      <c r="D14" s="46">
        <v>0</v>
      </c>
      <c r="E14" s="7">
        <f>C14+D14</f>
        <v>45</v>
      </c>
      <c r="F14" s="47">
        <f>$C$6*B14</f>
        <v>12973.880000000001</v>
      </c>
      <c r="G14" s="48">
        <f t="shared" ref="G14:G31" si="0">E14*F14</f>
        <v>583824.60000000009</v>
      </c>
    </row>
    <row r="15" spans="1:9" x14ac:dyDescent="0.2">
      <c r="A15" s="49" t="s">
        <v>23</v>
      </c>
      <c r="B15" s="50">
        <v>1.3</v>
      </c>
      <c r="C15" s="45">
        <v>45</v>
      </c>
      <c r="D15" s="51">
        <v>0</v>
      </c>
      <c r="E15" s="52">
        <f t="shared" ref="E15:E31" si="1">C15+D15</f>
        <v>45</v>
      </c>
      <c r="F15" s="47">
        <f t="shared" ref="F15:F31" si="2">$C$6*B15</f>
        <v>12586.6</v>
      </c>
      <c r="G15" s="53">
        <f t="shared" si="0"/>
        <v>566397</v>
      </c>
    </row>
    <row r="16" spans="1:9" x14ac:dyDescent="0.2">
      <c r="A16" s="49" t="s">
        <v>24</v>
      </c>
      <c r="B16" s="50">
        <v>1.3</v>
      </c>
      <c r="C16" s="45">
        <v>50</v>
      </c>
      <c r="D16" s="51">
        <v>0</v>
      </c>
      <c r="E16" s="45">
        <f>C16+D16</f>
        <v>50</v>
      </c>
      <c r="F16" s="47">
        <f t="shared" si="2"/>
        <v>12586.6</v>
      </c>
      <c r="G16" s="53">
        <f t="shared" si="0"/>
        <v>629330</v>
      </c>
    </row>
    <row r="17" spans="1:7" x14ac:dyDescent="0.2">
      <c r="A17" s="49" t="s">
        <v>25</v>
      </c>
      <c r="B17" s="50">
        <v>1</v>
      </c>
      <c r="C17" s="45"/>
      <c r="D17" s="51">
        <v>0</v>
      </c>
      <c r="E17" s="45">
        <f t="shared" si="1"/>
        <v>0</v>
      </c>
      <c r="F17" s="47">
        <f t="shared" si="2"/>
        <v>9682</v>
      </c>
      <c r="G17" s="53">
        <f t="shared" si="0"/>
        <v>0</v>
      </c>
    </row>
    <row r="18" spans="1:7" x14ac:dyDescent="0.2">
      <c r="A18" s="49" t="s">
        <v>26</v>
      </c>
      <c r="B18" s="50">
        <v>1</v>
      </c>
      <c r="C18" s="45"/>
      <c r="D18" s="51">
        <v>0</v>
      </c>
      <c r="E18" s="52">
        <f t="shared" si="1"/>
        <v>0</v>
      </c>
      <c r="F18" s="47">
        <f t="shared" si="2"/>
        <v>9682</v>
      </c>
      <c r="G18" s="53">
        <f t="shared" si="0"/>
        <v>0</v>
      </c>
    </row>
    <row r="19" spans="1:7" x14ac:dyDescent="0.2">
      <c r="A19" s="49" t="s">
        <v>27</v>
      </c>
      <c r="B19" s="50">
        <v>1</v>
      </c>
      <c r="C19" s="45"/>
      <c r="D19" s="51">
        <v>0</v>
      </c>
      <c r="E19" s="52">
        <f t="shared" si="1"/>
        <v>0</v>
      </c>
      <c r="F19" s="47">
        <f t="shared" si="2"/>
        <v>9682</v>
      </c>
      <c r="G19" s="53">
        <f t="shared" si="0"/>
        <v>0</v>
      </c>
    </row>
    <row r="20" spans="1:7" x14ac:dyDescent="0.2">
      <c r="A20" s="49" t="s">
        <v>28</v>
      </c>
      <c r="B20" s="50">
        <v>1</v>
      </c>
      <c r="C20" s="45"/>
      <c r="D20" s="51">
        <v>0</v>
      </c>
      <c r="E20" s="52">
        <f t="shared" si="1"/>
        <v>0</v>
      </c>
      <c r="F20" s="47">
        <f t="shared" si="2"/>
        <v>9682</v>
      </c>
      <c r="G20" s="53">
        <f t="shared" si="0"/>
        <v>0</v>
      </c>
    </row>
    <row r="21" spans="1:7" x14ac:dyDescent="0.2">
      <c r="A21" s="49" t="s">
        <v>29</v>
      </c>
      <c r="B21" s="50">
        <v>1</v>
      </c>
      <c r="C21" s="45"/>
      <c r="D21" s="51">
        <v>0</v>
      </c>
      <c r="E21" s="45">
        <f t="shared" si="1"/>
        <v>0</v>
      </c>
      <c r="F21" s="47">
        <f t="shared" si="2"/>
        <v>9682</v>
      </c>
      <c r="G21" s="53">
        <f t="shared" si="0"/>
        <v>0</v>
      </c>
    </row>
    <row r="22" spans="1:7" x14ac:dyDescent="0.2">
      <c r="A22" s="54" t="s">
        <v>30</v>
      </c>
      <c r="B22" s="50">
        <v>1.08</v>
      </c>
      <c r="C22" s="45"/>
      <c r="D22" s="51">
        <v>0</v>
      </c>
      <c r="E22" s="52">
        <f t="shared" si="1"/>
        <v>0</v>
      </c>
      <c r="F22" s="47">
        <f t="shared" si="2"/>
        <v>10456.560000000001</v>
      </c>
      <c r="G22" s="53">
        <f t="shared" si="0"/>
        <v>0</v>
      </c>
    </row>
    <row r="23" spans="1:7" x14ac:dyDescent="0.2">
      <c r="A23" s="54" t="s">
        <v>31</v>
      </c>
      <c r="B23" s="50">
        <v>1.08</v>
      </c>
      <c r="C23" s="45">
        <f>+'[2]Data inputs'!W11</f>
        <v>0</v>
      </c>
      <c r="D23" s="51">
        <v>0</v>
      </c>
      <c r="E23" s="52">
        <f t="shared" si="1"/>
        <v>0</v>
      </c>
      <c r="F23" s="47">
        <f t="shared" si="2"/>
        <v>10456.560000000001</v>
      </c>
      <c r="G23" s="53">
        <f t="shared" si="0"/>
        <v>0</v>
      </c>
    </row>
    <row r="24" spans="1:7" x14ac:dyDescent="0.2">
      <c r="A24" s="54" t="s">
        <v>32</v>
      </c>
      <c r="B24" s="50">
        <v>1.08</v>
      </c>
      <c r="C24" s="45">
        <f>+'[2]Data inputs'!W12</f>
        <v>0</v>
      </c>
      <c r="D24" s="51">
        <v>0</v>
      </c>
      <c r="E24" s="52">
        <f t="shared" si="1"/>
        <v>0</v>
      </c>
      <c r="F24" s="47">
        <f t="shared" si="2"/>
        <v>10456.560000000001</v>
      </c>
      <c r="G24" s="53">
        <f t="shared" si="0"/>
        <v>0</v>
      </c>
    </row>
    <row r="25" spans="1:7" x14ac:dyDescent="0.2">
      <c r="A25" s="49" t="s">
        <v>33</v>
      </c>
      <c r="B25" s="50">
        <v>1.22</v>
      </c>
      <c r="C25" s="45">
        <f>+'[2]Data inputs'!W13</f>
        <v>0</v>
      </c>
      <c r="D25" s="51">
        <v>0</v>
      </c>
      <c r="E25" s="52">
        <f t="shared" si="1"/>
        <v>0</v>
      </c>
      <c r="F25" s="47">
        <f t="shared" si="2"/>
        <v>11812.039999999999</v>
      </c>
      <c r="G25" s="53">
        <f t="shared" si="0"/>
        <v>0</v>
      </c>
    </row>
    <row r="26" spans="1:7" x14ac:dyDescent="0.2">
      <c r="A26" s="49" t="s">
        <v>34</v>
      </c>
      <c r="B26" s="50">
        <v>1.22</v>
      </c>
      <c r="C26" s="45">
        <f>+'[2]Data inputs'!W14</f>
        <v>0</v>
      </c>
      <c r="D26" s="51">
        <v>0</v>
      </c>
      <c r="E26" s="52">
        <f t="shared" si="1"/>
        <v>0</v>
      </c>
      <c r="F26" s="47">
        <f t="shared" si="2"/>
        <v>11812.039999999999</v>
      </c>
      <c r="G26" s="53">
        <f t="shared" si="0"/>
        <v>0</v>
      </c>
    </row>
    <row r="27" spans="1:7" x14ac:dyDescent="0.2">
      <c r="A27" s="49" t="s">
        <v>35</v>
      </c>
      <c r="B27" s="50">
        <v>1.22</v>
      </c>
      <c r="C27" s="45">
        <f>+'[2]Data inputs'!W15</f>
        <v>0</v>
      </c>
      <c r="D27" s="51">
        <v>0</v>
      </c>
      <c r="E27" s="52">
        <f t="shared" si="1"/>
        <v>0</v>
      </c>
      <c r="F27" s="47">
        <f t="shared" si="2"/>
        <v>11812.039999999999</v>
      </c>
      <c r="G27" s="53">
        <f t="shared" si="0"/>
        <v>0</v>
      </c>
    </row>
    <row r="28" spans="1:7" x14ac:dyDescent="0.2">
      <c r="A28" s="49" t="s">
        <v>36</v>
      </c>
      <c r="B28" s="50">
        <v>1.22</v>
      </c>
      <c r="C28" s="45">
        <f>+'[2]Data inputs'!W16</f>
        <v>0</v>
      </c>
      <c r="D28" s="51">
        <v>0</v>
      </c>
      <c r="E28" s="52">
        <f t="shared" si="1"/>
        <v>0</v>
      </c>
      <c r="F28" s="47">
        <f t="shared" si="2"/>
        <v>11812.039999999999</v>
      </c>
      <c r="G28" s="53">
        <f t="shared" si="0"/>
        <v>0</v>
      </c>
    </row>
    <row r="29" spans="1:7" x14ac:dyDescent="0.2">
      <c r="A29" s="49" t="s">
        <v>37</v>
      </c>
      <c r="B29" s="50">
        <v>1.44</v>
      </c>
      <c r="C29" s="45">
        <f>+'[2]Data inputs'!W17</f>
        <v>0</v>
      </c>
      <c r="D29" s="51">
        <v>0</v>
      </c>
      <c r="E29" s="52">
        <f t="shared" si="1"/>
        <v>0</v>
      </c>
      <c r="F29" s="47">
        <f t="shared" si="2"/>
        <v>13942.08</v>
      </c>
      <c r="G29" s="53">
        <f t="shared" si="0"/>
        <v>0</v>
      </c>
    </row>
    <row r="30" spans="1:7" x14ac:dyDescent="0.2">
      <c r="A30" s="49" t="s">
        <v>38</v>
      </c>
      <c r="B30" s="50">
        <v>1.17</v>
      </c>
      <c r="C30" s="45">
        <f>+'[2]Data inputs'!W18</f>
        <v>0</v>
      </c>
      <c r="D30" s="51">
        <v>0</v>
      </c>
      <c r="E30" s="52">
        <f t="shared" si="1"/>
        <v>0</v>
      </c>
      <c r="F30" s="47">
        <f t="shared" si="2"/>
        <v>11327.939999999999</v>
      </c>
      <c r="G30" s="53">
        <f t="shared" si="0"/>
        <v>0</v>
      </c>
    </row>
    <row r="31" spans="1:7" ht="13.5" thickBot="1" x14ac:dyDescent="0.25">
      <c r="A31" s="55" t="s">
        <v>39</v>
      </c>
      <c r="B31" s="56">
        <v>0.89</v>
      </c>
      <c r="C31" s="45">
        <f>+'[2]Data inputs'!W19</f>
        <v>0</v>
      </c>
      <c r="D31" s="57">
        <v>0</v>
      </c>
      <c r="E31" s="58">
        <f t="shared" si="1"/>
        <v>0</v>
      </c>
      <c r="F31" s="47">
        <f t="shared" si="2"/>
        <v>8616.98</v>
      </c>
      <c r="G31" s="59">
        <f t="shared" si="0"/>
        <v>0</v>
      </c>
    </row>
    <row r="32" spans="1:7" ht="13.5" thickBot="1" x14ac:dyDescent="0.25">
      <c r="A32" s="60" t="s">
        <v>40</v>
      </c>
      <c r="B32" s="61"/>
      <c r="C32" s="62">
        <f>SUM(C14:C31)</f>
        <v>140</v>
      </c>
      <c r="D32" s="62">
        <f>SUM(D14:D31)</f>
        <v>0</v>
      </c>
      <c r="E32" s="62">
        <f>SUM(E14:E31)</f>
        <v>140</v>
      </c>
      <c r="F32" s="186"/>
      <c r="G32" s="63">
        <f>SUM(G14:G31)</f>
        <v>1779551.6</v>
      </c>
    </row>
    <row r="33" spans="1:7" ht="13.5" thickBot="1" x14ac:dyDescent="0.25">
      <c r="A33" s="64"/>
      <c r="B33" s="65"/>
      <c r="C33" s="66"/>
      <c r="D33" s="66"/>
      <c r="E33" s="67"/>
      <c r="F33" s="27"/>
      <c r="G33" s="28"/>
    </row>
    <row r="34" spans="1:7" x14ac:dyDescent="0.2">
      <c r="A34" s="68" t="s">
        <v>41</v>
      </c>
      <c r="B34" s="69" t="s">
        <v>16</v>
      </c>
      <c r="C34" s="69" t="s">
        <v>19</v>
      </c>
      <c r="D34" s="69" t="s">
        <v>42</v>
      </c>
      <c r="E34" s="69" t="s">
        <v>13</v>
      </c>
      <c r="F34" s="36" t="s">
        <v>20</v>
      </c>
      <c r="G34" s="37" t="s">
        <v>21</v>
      </c>
    </row>
    <row r="35" spans="1:7" x14ac:dyDescent="0.2">
      <c r="A35" s="49" t="s">
        <v>43</v>
      </c>
      <c r="B35" s="50">
        <v>0.97</v>
      </c>
      <c r="C35" s="45">
        <v>0</v>
      </c>
      <c r="D35" s="70">
        <v>0</v>
      </c>
      <c r="E35" s="52">
        <f t="shared" ref="E35:E39" si="3">C35+D35</f>
        <v>0</v>
      </c>
      <c r="F35" s="71">
        <f t="shared" ref="F35:F39" si="4">$C$6*B35</f>
        <v>9391.5399999999991</v>
      </c>
      <c r="G35" s="72">
        <f>E35*F35</f>
        <v>0</v>
      </c>
    </row>
    <row r="36" spans="1:7" x14ac:dyDescent="0.2">
      <c r="A36" s="49" t="s">
        <v>44</v>
      </c>
      <c r="B36" s="50">
        <v>1.2</v>
      </c>
      <c r="C36" s="45">
        <v>0</v>
      </c>
      <c r="D36" s="70">
        <v>0</v>
      </c>
      <c r="E36" s="52">
        <f t="shared" si="3"/>
        <v>0</v>
      </c>
      <c r="F36" s="73">
        <f t="shared" si="4"/>
        <v>11618.4</v>
      </c>
      <c r="G36" s="74">
        <f>E36*F36</f>
        <v>0</v>
      </c>
    </row>
    <row r="37" spans="1:7" x14ac:dyDescent="0.2">
      <c r="A37" s="49" t="s">
        <v>45</v>
      </c>
      <c r="B37" s="50">
        <v>1.97</v>
      </c>
      <c r="C37" s="45">
        <v>0</v>
      </c>
      <c r="D37" s="70">
        <v>0</v>
      </c>
      <c r="E37" s="52">
        <f t="shared" si="3"/>
        <v>0</v>
      </c>
      <c r="F37" s="73">
        <f t="shared" si="4"/>
        <v>19073.54</v>
      </c>
      <c r="G37" s="74">
        <f>E37*F37</f>
        <v>0</v>
      </c>
    </row>
    <row r="38" spans="1:7" x14ac:dyDescent="0.2">
      <c r="A38" s="49" t="s">
        <v>46</v>
      </c>
      <c r="B38" s="50">
        <v>3.49</v>
      </c>
      <c r="C38" s="45">
        <v>0</v>
      </c>
      <c r="D38" s="70">
        <v>0</v>
      </c>
      <c r="E38" s="52">
        <f t="shared" si="3"/>
        <v>0</v>
      </c>
      <c r="F38" s="73">
        <f t="shared" si="4"/>
        <v>33790.18</v>
      </c>
      <c r="G38" s="74">
        <f>E38*F38</f>
        <v>0</v>
      </c>
    </row>
    <row r="39" spans="1:7" x14ac:dyDescent="0.2">
      <c r="A39" s="49"/>
      <c r="B39" s="50"/>
      <c r="C39" s="45">
        <f>SUM(C35:C38)</f>
        <v>0</v>
      </c>
      <c r="D39" s="70">
        <f>SUM(D35:D38)</f>
        <v>0</v>
      </c>
      <c r="E39" s="52">
        <f t="shared" si="3"/>
        <v>0</v>
      </c>
      <c r="F39" s="73">
        <f t="shared" si="4"/>
        <v>0</v>
      </c>
      <c r="G39" s="74">
        <f>E39*F39</f>
        <v>0</v>
      </c>
    </row>
    <row r="40" spans="1:7" ht="13.5" thickBot="1" x14ac:dyDescent="0.25">
      <c r="A40" s="75" t="s">
        <v>47</v>
      </c>
      <c r="B40" s="76"/>
      <c r="C40" s="77">
        <f>C39</f>
        <v>0</v>
      </c>
      <c r="D40" s="77">
        <f>D39</f>
        <v>0</v>
      </c>
      <c r="E40" s="78">
        <f>SUM(E35:E38)</f>
        <v>0</v>
      </c>
      <c r="F40" s="79"/>
      <c r="G40" s="80">
        <f>SUM(G35:G39)</f>
        <v>0</v>
      </c>
    </row>
    <row r="41" spans="1:7" ht="13.5" thickBot="1" x14ac:dyDescent="0.25">
      <c r="A41" s="27"/>
      <c r="B41" s="81"/>
      <c r="C41" s="66"/>
      <c r="D41" s="66"/>
      <c r="E41" s="67"/>
      <c r="F41" s="27"/>
      <c r="G41" s="28"/>
    </row>
    <row r="42" spans="1:7" x14ac:dyDescent="0.2">
      <c r="A42" s="43" t="s">
        <v>48</v>
      </c>
      <c r="B42" s="82">
        <v>6.9000000000000006E-2</v>
      </c>
      <c r="C42" s="7">
        <f>C39</f>
        <v>0</v>
      </c>
      <c r="D42" s="7">
        <f>D40</f>
        <v>0</v>
      </c>
      <c r="E42" s="83">
        <f t="shared" ref="E42:E43" si="5">C42+D42</f>
        <v>0</v>
      </c>
      <c r="F42" s="84">
        <f t="shared" ref="F42:F43" si="6">$C$6*B42</f>
        <v>668.05800000000011</v>
      </c>
      <c r="G42" s="85">
        <f>E42*F42</f>
        <v>0</v>
      </c>
    </row>
    <row r="43" spans="1:7" ht="13.5" thickBot="1" x14ac:dyDescent="0.25">
      <c r="A43" s="86" t="s">
        <v>49</v>
      </c>
      <c r="B43" s="87">
        <v>8.8999999999999996E-2</v>
      </c>
      <c r="C43" s="88">
        <f>C39</f>
        <v>0</v>
      </c>
      <c r="D43" s="88">
        <f>D42</f>
        <v>0</v>
      </c>
      <c r="E43" s="58">
        <f t="shared" si="5"/>
        <v>0</v>
      </c>
      <c r="F43" s="89">
        <f t="shared" si="6"/>
        <v>861.69799999999998</v>
      </c>
      <c r="G43" s="90">
        <f>E43*F43</f>
        <v>0</v>
      </c>
    </row>
    <row r="44" spans="1:7" ht="13.5" thickBot="1" x14ac:dyDescent="0.25">
      <c r="A44" s="60" t="s">
        <v>50</v>
      </c>
      <c r="B44" s="61"/>
      <c r="C44" s="62">
        <f>C43</f>
        <v>0</v>
      </c>
      <c r="D44" s="62">
        <f>D43</f>
        <v>0</v>
      </c>
      <c r="E44" s="91"/>
      <c r="F44" s="92">
        <f>SUM(F42:F43)</f>
        <v>1529.7560000000001</v>
      </c>
      <c r="G44" s="93">
        <f>SUM(G42:G43)</f>
        <v>0</v>
      </c>
    </row>
    <row r="45" spans="1:7" ht="14.25" thickBot="1" x14ac:dyDescent="0.3">
      <c r="A45" s="94"/>
      <c r="B45" s="81"/>
      <c r="C45" s="66"/>
      <c r="D45" s="66"/>
      <c r="E45" s="67"/>
      <c r="F45" s="27"/>
      <c r="G45" s="28"/>
    </row>
    <row r="46" spans="1:7" x14ac:dyDescent="0.2">
      <c r="A46" s="95" t="s">
        <v>51</v>
      </c>
      <c r="B46" s="69" t="s">
        <v>16</v>
      </c>
      <c r="C46" s="69" t="s">
        <v>19</v>
      </c>
      <c r="D46" s="69" t="s">
        <v>52</v>
      </c>
      <c r="E46" s="69" t="s">
        <v>13</v>
      </c>
      <c r="F46" s="36" t="s">
        <v>20</v>
      </c>
      <c r="G46" s="37" t="s">
        <v>21</v>
      </c>
    </row>
    <row r="47" spans="1:7" ht="13.5" thickBot="1" x14ac:dyDescent="0.25">
      <c r="A47" s="96" t="s">
        <v>53</v>
      </c>
      <c r="B47" s="97">
        <v>0.49</v>
      </c>
      <c r="C47" s="98">
        <v>0</v>
      </c>
      <c r="D47" s="99">
        <v>0</v>
      </c>
      <c r="E47" s="100">
        <f>C47+D47</f>
        <v>0</v>
      </c>
      <c r="F47" s="101">
        <f>$C$6*B47</f>
        <v>4744.18</v>
      </c>
      <c r="G47" s="102">
        <f>E47*F47</f>
        <v>0</v>
      </c>
    </row>
    <row r="48" spans="1:7" ht="13.5" thickBot="1" x14ac:dyDescent="0.25">
      <c r="A48" s="27"/>
      <c r="B48" s="81"/>
      <c r="C48" s="66"/>
      <c r="D48" s="66"/>
      <c r="E48" s="67"/>
      <c r="F48" s="27"/>
      <c r="G48" s="28"/>
    </row>
    <row r="49" spans="1:10" ht="12.75" customHeight="1" x14ac:dyDescent="0.2">
      <c r="A49" s="103" t="s">
        <v>54</v>
      </c>
      <c r="B49" s="69" t="s">
        <v>16</v>
      </c>
      <c r="C49" s="69" t="s">
        <v>19</v>
      </c>
      <c r="D49" s="69" t="s">
        <v>42</v>
      </c>
      <c r="E49" s="69" t="s">
        <v>13</v>
      </c>
      <c r="F49" s="36" t="s">
        <v>20</v>
      </c>
      <c r="G49" s="37" t="s">
        <v>21</v>
      </c>
    </row>
    <row r="50" spans="1:10" ht="12.75" customHeight="1" x14ac:dyDescent="0.2">
      <c r="A50" s="104" t="s">
        <v>55</v>
      </c>
      <c r="B50" s="105">
        <v>0.36799999999999999</v>
      </c>
      <c r="C50" s="45">
        <v>0</v>
      </c>
      <c r="D50" s="70"/>
      <c r="E50" s="106">
        <f>C50+D50</f>
        <v>0</v>
      </c>
      <c r="F50" s="73">
        <f t="shared" ref="F50:F53" si="7">$C$6*B50</f>
        <v>3562.9760000000001</v>
      </c>
      <c r="G50" s="74">
        <f>E50*F50</f>
        <v>0</v>
      </c>
    </row>
    <row r="51" spans="1:10" ht="12.75" customHeight="1" x14ac:dyDescent="0.2">
      <c r="A51" s="104" t="s">
        <v>56</v>
      </c>
      <c r="B51" s="105">
        <v>1.337</v>
      </c>
      <c r="C51" s="45">
        <v>0</v>
      </c>
      <c r="D51" s="70"/>
      <c r="E51" s="107">
        <f t="shared" ref="E51:E53" si="8">C51+D51</f>
        <v>0</v>
      </c>
      <c r="F51" s="73">
        <f t="shared" si="7"/>
        <v>12944.833999999999</v>
      </c>
      <c r="G51" s="74">
        <f>E51*F51</f>
        <v>0</v>
      </c>
    </row>
    <row r="52" spans="1:10" ht="12.75" customHeight="1" x14ac:dyDescent="0.2">
      <c r="A52" s="104" t="s">
        <v>57</v>
      </c>
      <c r="B52" s="105">
        <v>2.891</v>
      </c>
      <c r="C52" s="45">
        <v>0</v>
      </c>
      <c r="D52" s="70"/>
      <c r="E52" s="107">
        <f t="shared" si="8"/>
        <v>0</v>
      </c>
      <c r="F52" s="73">
        <f t="shared" si="7"/>
        <v>27990.662</v>
      </c>
      <c r="G52" s="74">
        <f>E52*F52</f>
        <v>0</v>
      </c>
      <c r="J52" s="108"/>
    </row>
    <row r="53" spans="1:10" ht="12.75" customHeight="1" x14ac:dyDescent="0.2">
      <c r="A53" s="104" t="s">
        <v>58</v>
      </c>
      <c r="B53" s="105">
        <v>2.8740000000000001</v>
      </c>
      <c r="C53" s="45">
        <v>0</v>
      </c>
      <c r="D53" s="70"/>
      <c r="E53" s="107">
        <f t="shared" si="8"/>
        <v>0</v>
      </c>
      <c r="F53" s="73">
        <f t="shared" si="7"/>
        <v>27826.067999999999</v>
      </c>
      <c r="G53" s="74">
        <f>E53*F53</f>
        <v>0</v>
      </c>
      <c r="J53" s="108"/>
    </row>
    <row r="54" spans="1:10" ht="13.5" customHeight="1" thickBot="1" x14ac:dyDescent="0.25">
      <c r="A54" s="187" t="s">
        <v>59</v>
      </c>
      <c r="B54" s="109"/>
      <c r="C54" s="77">
        <f>SUM(C50:C53)</f>
        <v>0</v>
      </c>
      <c r="D54" s="77"/>
      <c r="E54" s="110">
        <f>SUM(E50:E53)</f>
        <v>0</v>
      </c>
      <c r="F54" s="111"/>
      <c r="G54" s="112">
        <f>SUM(G50:G53)</f>
        <v>0</v>
      </c>
      <c r="J54" s="108"/>
    </row>
    <row r="55" spans="1:10" ht="13.5" customHeight="1" thickBot="1" x14ac:dyDescent="0.25">
      <c r="A55" s="64"/>
      <c r="B55" s="113"/>
      <c r="C55" s="114"/>
      <c r="D55" s="66"/>
      <c r="E55" s="67"/>
      <c r="F55" s="27"/>
      <c r="G55" s="28"/>
      <c r="J55" s="108"/>
    </row>
    <row r="56" spans="1:10" ht="25.5" x14ac:dyDescent="0.2">
      <c r="A56" s="115" t="s">
        <v>60</v>
      </c>
      <c r="B56" s="69" t="s">
        <v>16</v>
      </c>
      <c r="C56" s="69" t="s">
        <v>19</v>
      </c>
      <c r="D56" s="69"/>
      <c r="E56" s="69" t="s">
        <v>13</v>
      </c>
      <c r="F56" s="36" t="s">
        <v>20</v>
      </c>
      <c r="G56" s="37" t="s">
        <v>21</v>
      </c>
      <c r="J56" s="108"/>
    </row>
    <row r="57" spans="1:10" ht="13.5" customHeight="1" thickBot="1" x14ac:dyDescent="0.25">
      <c r="A57" s="96" t="s">
        <v>61</v>
      </c>
      <c r="B57" s="116">
        <v>0.66800000000000004</v>
      </c>
      <c r="C57" s="99">
        <v>0</v>
      </c>
      <c r="D57" s="117"/>
      <c r="E57" s="100">
        <f>C57+D57</f>
        <v>0</v>
      </c>
      <c r="F57" s="101">
        <f>ROUND($C$6*B57,0)</f>
        <v>6468</v>
      </c>
      <c r="G57" s="102">
        <f>E57*F57</f>
        <v>0</v>
      </c>
      <c r="J57" s="108"/>
    </row>
    <row r="58" spans="1:10" ht="13.5" customHeight="1" thickBot="1" x14ac:dyDescent="0.25">
      <c r="A58" s="27"/>
      <c r="B58" s="113"/>
      <c r="C58" s="118"/>
      <c r="D58" s="66"/>
      <c r="E58" s="119"/>
      <c r="F58" s="27"/>
      <c r="G58" s="28"/>
      <c r="J58" s="108"/>
    </row>
    <row r="59" spans="1:10" ht="12.75" customHeight="1" x14ac:dyDescent="0.2">
      <c r="A59" s="95" t="s">
        <v>62</v>
      </c>
      <c r="B59" s="69" t="s">
        <v>16</v>
      </c>
      <c r="C59" s="69" t="s">
        <v>19</v>
      </c>
      <c r="D59" s="69"/>
      <c r="E59" s="69" t="s">
        <v>13</v>
      </c>
      <c r="F59" s="36" t="s">
        <v>20</v>
      </c>
      <c r="G59" s="37" t="s">
        <v>21</v>
      </c>
      <c r="J59" s="108"/>
    </row>
    <row r="60" spans="1:10" ht="13.5" customHeight="1" thickBot="1" x14ac:dyDescent="0.25">
      <c r="A60" s="96" t="s">
        <v>62</v>
      </c>
      <c r="B60" s="97">
        <v>1.67</v>
      </c>
      <c r="C60" s="99">
        <v>0</v>
      </c>
      <c r="D60" s="117"/>
      <c r="E60" s="100">
        <f>C60+D60</f>
        <v>0</v>
      </c>
      <c r="F60" s="101">
        <f>$C$6*B60</f>
        <v>16168.939999999999</v>
      </c>
      <c r="G60" s="102">
        <f>E60*F60</f>
        <v>0</v>
      </c>
      <c r="J60" s="108"/>
    </row>
    <row r="61" spans="1:10" ht="13.5" thickBot="1" x14ac:dyDescent="0.25">
      <c r="A61" s="27"/>
      <c r="B61" s="113"/>
      <c r="C61" s="118"/>
      <c r="D61" s="66"/>
      <c r="E61" s="119"/>
      <c r="F61" s="27"/>
      <c r="G61" s="28"/>
      <c r="J61" s="108"/>
    </row>
    <row r="62" spans="1:10" ht="13.5" thickBot="1" x14ac:dyDescent="0.25">
      <c r="A62" s="120" t="s">
        <v>63</v>
      </c>
      <c r="B62" s="121">
        <v>0.219</v>
      </c>
      <c r="C62" s="98">
        <v>0</v>
      </c>
      <c r="D62" s="122"/>
      <c r="E62" s="123">
        <f>C62+D62</f>
        <v>0</v>
      </c>
      <c r="F62" s="124">
        <f>ROUND(B62*C6,0)</f>
        <v>2120</v>
      </c>
      <c r="G62" s="125">
        <f>C62*F62</f>
        <v>0</v>
      </c>
      <c r="J62" s="108"/>
    </row>
    <row r="63" spans="1:10" ht="13.5" thickBot="1" x14ac:dyDescent="0.25">
      <c r="A63" s="126"/>
      <c r="B63" s="127"/>
      <c r="C63" s="128"/>
      <c r="D63" s="128"/>
      <c r="E63" s="129"/>
      <c r="F63" s="130"/>
      <c r="G63" s="131"/>
      <c r="J63" s="108"/>
    </row>
    <row r="64" spans="1:10" x14ac:dyDescent="0.2">
      <c r="A64" s="103" t="s">
        <v>64</v>
      </c>
      <c r="B64" s="69" t="s">
        <v>16</v>
      </c>
      <c r="C64" s="69" t="s">
        <v>19</v>
      </c>
      <c r="D64" s="69"/>
      <c r="E64" s="69" t="s">
        <v>13</v>
      </c>
      <c r="F64" s="36" t="s">
        <v>20</v>
      </c>
      <c r="G64" s="37" t="s">
        <v>21</v>
      </c>
      <c r="J64" s="108"/>
    </row>
    <row r="65" spans="1:10" ht="12.75" customHeight="1" x14ac:dyDescent="0.2">
      <c r="A65" s="49" t="s">
        <v>65</v>
      </c>
      <c r="B65" s="132">
        <v>6.3E-2</v>
      </c>
      <c r="C65" s="70">
        <v>0</v>
      </c>
      <c r="D65" s="45"/>
      <c r="E65" s="107"/>
      <c r="F65" s="73">
        <f t="shared" ref="F65:F68" si="9">$C$6*B65</f>
        <v>609.96600000000001</v>
      </c>
      <c r="G65" s="53">
        <f>C65*F65</f>
        <v>0</v>
      </c>
      <c r="J65" s="108"/>
    </row>
    <row r="66" spans="1:10" ht="12.75" customHeight="1" x14ac:dyDescent="0.2">
      <c r="A66" s="49" t="s">
        <v>66</v>
      </c>
      <c r="B66" s="132">
        <v>0.22700000000000001</v>
      </c>
      <c r="C66" s="70">
        <v>0</v>
      </c>
      <c r="D66" s="45"/>
      <c r="E66" s="107"/>
      <c r="F66" s="73">
        <f t="shared" si="9"/>
        <v>2197.8139999999999</v>
      </c>
      <c r="G66" s="53">
        <f>C66*F66</f>
        <v>0</v>
      </c>
      <c r="J66" s="108"/>
    </row>
    <row r="67" spans="1:10" ht="12.75" customHeight="1" x14ac:dyDescent="0.2">
      <c r="A67" s="49" t="s">
        <v>67</v>
      </c>
      <c r="B67" s="132">
        <v>0.49099999999999999</v>
      </c>
      <c r="C67" s="70">
        <v>0</v>
      </c>
      <c r="D67" s="45"/>
      <c r="E67" s="107"/>
      <c r="F67" s="73">
        <f t="shared" si="9"/>
        <v>4753.8620000000001</v>
      </c>
      <c r="G67" s="53">
        <f>C67*F67</f>
        <v>0</v>
      </c>
      <c r="J67" s="108"/>
    </row>
    <row r="68" spans="1:10" ht="12.75" customHeight="1" x14ac:dyDescent="0.2">
      <c r="A68" s="49" t="s">
        <v>68</v>
      </c>
      <c r="B68" s="132">
        <v>0.48899999999999999</v>
      </c>
      <c r="C68" s="70">
        <v>0</v>
      </c>
      <c r="D68" s="45"/>
      <c r="E68" s="107"/>
      <c r="F68" s="133">
        <f t="shared" si="9"/>
        <v>4734.4979999999996</v>
      </c>
      <c r="G68" s="53">
        <f>C68*F68</f>
        <v>0</v>
      </c>
      <c r="J68" s="108"/>
    </row>
    <row r="69" spans="1:10" ht="14.25" customHeight="1" thickBot="1" x14ac:dyDescent="0.3">
      <c r="A69" s="134" t="s">
        <v>69</v>
      </c>
      <c r="B69" s="135"/>
      <c r="C69" s="77">
        <f>SUM(C65:C68)</f>
        <v>0</v>
      </c>
      <c r="D69" s="77"/>
      <c r="E69" s="78"/>
      <c r="F69" s="79"/>
      <c r="G69" s="136">
        <f>SUM(G65:G68)</f>
        <v>0</v>
      </c>
      <c r="J69" s="108"/>
    </row>
    <row r="70" spans="1:10" ht="13.5" thickBot="1" x14ac:dyDescent="0.25">
      <c r="A70" s="137"/>
      <c r="B70" s="138"/>
      <c r="C70" s="139"/>
      <c r="D70" s="140"/>
      <c r="E70" s="141"/>
      <c r="F70" s="142"/>
      <c r="G70" s="143"/>
      <c r="J70" s="108"/>
    </row>
    <row r="71" spans="1:10" ht="13.5" thickBot="1" x14ac:dyDescent="0.25">
      <c r="A71" s="144" t="s">
        <v>70</v>
      </c>
      <c r="B71" s="145"/>
      <c r="C71" s="145"/>
      <c r="D71" s="145"/>
      <c r="E71" s="145"/>
      <c r="F71" s="145"/>
      <c r="G71" s="146">
        <f>G32+G40+G44+G47+G54+G57+G60+G62+G69</f>
        <v>1779551.6</v>
      </c>
      <c r="J71" s="108"/>
    </row>
    <row r="72" spans="1:10" ht="13.5" thickBot="1" x14ac:dyDescent="0.25">
      <c r="A72" s="126"/>
      <c r="B72" s="147"/>
      <c r="C72" s="27"/>
      <c r="D72" s="27"/>
      <c r="E72" s="148"/>
      <c r="F72" s="27"/>
      <c r="G72" s="28"/>
      <c r="J72" s="108"/>
    </row>
    <row r="73" spans="1:10" x14ac:dyDescent="0.2">
      <c r="A73" s="149" t="s">
        <v>71</v>
      </c>
      <c r="B73" s="150"/>
      <c r="C73" s="151"/>
      <c r="D73" s="151"/>
      <c r="E73" s="152"/>
      <c r="F73" s="151"/>
      <c r="G73" s="153"/>
      <c r="J73" s="108"/>
    </row>
    <row r="74" spans="1:10" x14ac:dyDescent="0.2">
      <c r="A74" s="49" t="s">
        <v>72</v>
      </c>
      <c r="B74" s="52"/>
      <c r="C74" s="45">
        <f>C32-C75</f>
        <v>140</v>
      </c>
      <c r="D74" s="52"/>
      <c r="E74" s="154">
        <f>C74+D74</f>
        <v>140</v>
      </c>
      <c r="F74" s="155">
        <f>+C7</f>
        <v>3124</v>
      </c>
      <c r="G74" s="156">
        <f>C74*F74</f>
        <v>437360</v>
      </c>
      <c r="J74" s="108"/>
    </row>
    <row r="75" spans="1:10" x14ac:dyDescent="0.2">
      <c r="A75" s="49" t="s">
        <v>73</v>
      </c>
      <c r="B75" s="52"/>
      <c r="C75" s="45">
        <f>C60</f>
        <v>0</v>
      </c>
      <c r="D75" s="157"/>
      <c r="E75" s="154">
        <f>C75+D75</f>
        <v>0</v>
      </c>
      <c r="F75" s="155">
        <f>C8</f>
        <v>8395</v>
      </c>
      <c r="G75" s="156">
        <f>C8*E75</f>
        <v>0</v>
      </c>
      <c r="J75" s="108"/>
    </row>
    <row r="76" spans="1:10" ht="13.5" thickBot="1" x14ac:dyDescent="0.25">
      <c r="A76" s="192" t="s">
        <v>74</v>
      </c>
      <c r="B76" s="193"/>
      <c r="C76" s="193"/>
      <c r="D76" s="193"/>
      <c r="E76" s="193"/>
      <c r="F76" s="193"/>
      <c r="G76" s="188">
        <f>G74+G75</f>
        <v>437360</v>
      </c>
      <c r="J76" s="108"/>
    </row>
    <row r="77" spans="1:10" ht="13.5" thickBot="1" x14ac:dyDescent="0.25">
      <c r="A77" s="158"/>
      <c r="B77" s="184"/>
      <c r="C77" s="184"/>
      <c r="D77" s="184"/>
      <c r="E77" s="184"/>
      <c r="F77" s="184"/>
      <c r="G77" s="159"/>
      <c r="J77" s="108"/>
    </row>
    <row r="78" spans="1:10" ht="16.5" thickBot="1" x14ac:dyDescent="0.3">
      <c r="A78" s="160"/>
      <c r="B78" s="161"/>
      <c r="C78" s="161"/>
      <c r="D78" s="161"/>
      <c r="E78" s="162"/>
      <c r="F78" s="163" t="s">
        <v>75</v>
      </c>
      <c r="G78" s="164">
        <f>SUM(G71+G76)</f>
        <v>2216911.6</v>
      </c>
      <c r="J78" s="108"/>
    </row>
    <row r="79" spans="1:10" x14ac:dyDescent="0.2">
      <c r="J79" s="108"/>
    </row>
    <row r="80" spans="1:10" x14ac:dyDescent="0.2">
      <c r="F80" s="8" t="s">
        <v>76</v>
      </c>
      <c r="G80" s="165" t="e">
        <f>+#REF!</f>
        <v>#REF!</v>
      </c>
    </row>
    <row r="81" spans="6:7" x14ac:dyDescent="0.2">
      <c r="F81" s="8" t="s">
        <v>77</v>
      </c>
      <c r="G81" s="166" t="e">
        <f>+#REF!</f>
        <v>#REF!</v>
      </c>
    </row>
    <row r="82" spans="6:7" x14ac:dyDescent="0.2">
      <c r="F82" s="8" t="s">
        <v>78</v>
      </c>
      <c r="G82" s="165">
        <v>0</v>
      </c>
    </row>
    <row r="83" spans="6:7" x14ac:dyDescent="0.2">
      <c r="F83" s="8" t="s">
        <v>79</v>
      </c>
      <c r="G83" s="165">
        <v>0</v>
      </c>
    </row>
    <row r="84" spans="6:7" x14ac:dyDescent="0.2">
      <c r="F84" s="8" t="s">
        <v>80</v>
      </c>
      <c r="G84" s="167" t="e">
        <f>SUM(G80:G83)</f>
        <v>#REF!</v>
      </c>
    </row>
  </sheetData>
  <mergeCells count="9">
    <mergeCell ref="D7:G7"/>
    <mergeCell ref="A76:F76"/>
    <mergeCell ref="A1:G1"/>
    <mergeCell ref="A2:G2"/>
    <mergeCell ref="A3:G3"/>
    <mergeCell ref="A4:G4"/>
    <mergeCell ref="A5:G5"/>
    <mergeCell ref="A6:B6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C14" sqref="C14:C17"/>
    </sheetView>
  </sheetViews>
  <sheetFormatPr defaultColWidth="7.42578125" defaultRowHeight="12.75" x14ac:dyDescent="0.2"/>
  <cols>
    <col min="1" max="1" width="31.42578125" style="8" customWidth="1"/>
    <col min="2" max="2" width="13.42578125" style="8" customWidth="1"/>
    <col min="3" max="3" width="15.7109375" style="8" customWidth="1"/>
    <col min="4" max="4" width="18.42578125" style="8" hidden="1" customWidth="1"/>
    <col min="5" max="5" width="15.7109375" style="8" hidden="1" customWidth="1"/>
    <col min="6" max="6" width="23.7109375" style="8" customWidth="1"/>
    <col min="7" max="7" width="22.42578125" style="8" customWidth="1"/>
    <col min="8" max="16384" width="7.42578125" style="6"/>
  </cols>
  <sheetData>
    <row r="1" spans="1:7" ht="18.75" x14ac:dyDescent="0.3">
      <c r="A1" s="194" t="s">
        <v>0</v>
      </c>
      <c r="B1" s="195"/>
      <c r="C1" s="195"/>
      <c r="D1" s="195"/>
      <c r="E1" s="195"/>
      <c r="F1" s="196"/>
      <c r="G1" s="196"/>
    </row>
    <row r="2" spans="1:7" ht="18.75" x14ac:dyDescent="0.3">
      <c r="A2" s="194" t="s">
        <v>1</v>
      </c>
      <c r="B2" s="195"/>
      <c r="C2" s="195"/>
      <c r="D2" s="195"/>
      <c r="E2" s="195"/>
      <c r="F2" s="196"/>
      <c r="G2" s="196"/>
    </row>
    <row r="3" spans="1:7" ht="22.5" x14ac:dyDescent="0.3">
      <c r="A3" s="197" t="s">
        <v>2</v>
      </c>
      <c r="B3" s="198"/>
      <c r="C3" s="198"/>
      <c r="D3" s="198"/>
      <c r="E3" s="198"/>
      <c r="F3" s="198"/>
      <c r="G3" s="199"/>
    </row>
    <row r="4" spans="1:7" ht="22.5" x14ac:dyDescent="0.3">
      <c r="A4" s="197" t="s">
        <v>3</v>
      </c>
      <c r="B4" s="197"/>
      <c r="C4" s="197"/>
      <c r="D4" s="197"/>
      <c r="E4" s="197"/>
      <c r="F4" s="197"/>
      <c r="G4" s="197"/>
    </row>
    <row r="5" spans="1:7" ht="19.5" thickBot="1" x14ac:dyDescent="0.35">
      <c r="A5" s="200" t="s">
        <v>4</v>
      </c>
      <c r="B5" s="201"/>
      <c r="C5" s="201"/>
      <c r="D5" s="201"/>
      <c r="E5" s="201"/>
      <c r="F5" s="202"/>
      <c r="G5" s="202"/>
    </row>
    <row r="6" spans="1:7" ht="13.5" thickBot="1" x14ac:dyDescent="0.25">
      <c r="A6" s="203" t="s">
        <v>5</v>
      </c>
      <c r="B6" s="196"/>
      <c r="C6" s="22">
        <v>9682</v>
      </c>
      <c r="D6" s="23"/>
      <c r="E6" s="204"/>
      <c r="F6" s="205"/>
      <c r="G6" s="205"/>
    </row>
    <row r="7" spans="1:7" ht="15" x14ac:dyDescent="0.25">
      <c r="A7" s="24" t="s">
        <v>6</v>
      </c>
      <c r="B7" s="24"/>
      <c r="C7" s="25">
        <v>3124</v>
      </c>
      <c r="D7" s="190"/>
      <c r="E7" s="191"/>
      <c r="F7" s="191"/>
      <c r="G7" s="191"/>
    </row>
    <row r="8" spans="1:7" x14ac:dyDescent="0.2">
      <c r="A8" s="24" t="s">
        <v>7</v>
      </c>
      <c r="B8" s="24"/>
      <c r="C8" s="26">
        <v>8395</v>
      </c>
      <c r="D8" s="23"/>
      <c r="E8" s="183"/>
      <c r="F8" s="27"/>
      <c r="G8" s="28"/>
    </row>
    <row r="9" spans="1:7" x14ac:dyDescent="0.2">
      <c r="A9" s="24"/>
      <c r="B9" s="24"/>
      <c r="C9" s="29"/>
      <c r="D9" s="29"/>
      <c r="E9" s="30"/>
      <c r="F9" s="27"/>
      <c r="G9" s="28"/>
    </row>
    <row r="10" spans="1:7" x14ac:dyDescent="0.2">
      <c r="A10" s="24" t="s">
        <v>8</v>
      </c>
      <c r="B10" s="24"/>
      <c r="C10" s="30" t="s">
        <v>9</v>
      </c>
      <c r="D10" s="29"/>
      <c r="E10" s="30"/>
      <c r="F10" s="27"/>
      <c r="G10" s="28"/>
    </row>
    <row r="11" spans="1:7" ht="13.5" thickBot="1" x14ac:dyDescent="0.25">
      <c r="A11" s="24"/>
      <c r="B11" s="24"/>
      <c r="C11" s="29"/>
      <c r="D11" s="29"/>
      <c r="E11" s="30"/>
      <c r="F11" s="27"/>
      <c r="G11" s="28"/>
    </row>
    <row r="12" spans="1:7" ht="25.5" x14ac:dyDescent="0.2">
      <c r="A12" s="31" t="s">
        <v>10</v>
      </c>
      <c r="B12" s="32"/>
      <c r="C12" s="33" t="s">
        <v>11</v>
      </c>
      <c r="D12" s="34" t="s">
        <v>12</v>
      </c>
      <c r="E12" s="35" t="s">
        <v>13</v>
      </c>
      <c r="F12" s="36" t="s">
        <v>14</v>
      </c>
      <c r="G12" s="37" t="s">
        <v>13</v>
      </c>
    </row>
    <row r="13" spans="1:7" ht="13.5" thickBot="1" x14ac:dyDescent="0.25">
      <c r="A13" s="38" t="s">
        <v>15</v>
      </c>
      <c r="B13" s="39" t="s">
        <v>16</v>
      </c>
      <c r="C13" s="40" t="s">
        <v>17</v>
      </c>
      <c r="D13" s="39" t="s">
        <v>18</v>
      </c>
      <c r="E13" s="39" t="s">
        <v>19</v>
      </c>
      <c r="F13" s="41" t="s">
        <v>20</v>
      </c>
      <c r="G13" s="42" t="s">
        <v>21</v>
      </c>
    </row>
    <row r="14" spans="1:7" x14ac:dyDescent="0.2">
      <c r="A14" s="43" t="s">
        <v>22</v>
      </c>
      <c r="B14" s="44">
        <v>1.34</v>
      </c>
      <c r="C14" s="45">
        <v>46</v>
      </c>
      <c r="D14" s="46">
        <v>0</v>
      </c>
      <c r="E14" s="7">
        <f>C14+D14</f>
        <v>46</v>
      </c>
      <c r="F14" s="47">
        <f>$C$6*B14</f>
        <v>12973.880000000001</v>
      </c>
      <c r="G14" s="48">
        <f t="shared" ref="G14:G31" si="0">E14*F14</f>
        <v>596798.4800000001</v>
      </c>
    </row>
    <row r="15" spans="1:7" x14ac:dyDescent="0.2">
      <c r="A15" s="49" t="s">
        <v>23</v>
      </c>
      <c r="B15" s="50">
        <v>1.3</v>
      </c>
      <c r="C15" s="45">
        <v>46</v>
      </c>
      <c r="D15" s="51">
        <v>0</v>
      </c>
      <c r="E15" s="52">
        <f t="shared" ref="E15:E31" si="1">C15+D15</f>
        <v>46</v>
      </c>
      <c r="F15" s="47">
        <f t="shared" ref="F15:F31" si="2">$C$6*B15</f>
        <v>12586.6</v>
      </c>
      <c r="G15" s="53">
        <f t="shared" si="0"/>
        <v>578983.6</v>
      </c>
    </row>
    <row r="16" spans="1:7" x14ac:dyDescent="0.2">
      <c r="A16" s="49" t="s">
        <v>24</v>
      </c>
      <c r="B16" s="50">
        <v>1.3</v>
      </c>
      <c r="C16" s="45">
        <v>50</v>
      </c>
      <c r="D16" s="51">
        <v>0</v>
      </c>
      <c r="E16" s="45">
        <f>C16+D16</f>
        <v>50</v>
      </c>
      <c r="F16" s="47">
        <f t="shared" si="2"/>
        <v>12586.6</v>
      </c>
      <c r="G16" s="53">
        <f t="shared" si="0"/>
        <v>629330</v>
      </c>
    </row>
    <row r="17" spans="1:7" x14ac:dyDescent="0.2">
      <c r="A17" s="49" t="s">
        <v>25</v>
      </c>
      <c r="B17" s="50">
        <v>1</v>
      </c>
      <c r="C17" s="45">
        <v>50</v>
      </c>
      <c r="D17" s="51">
        <v>0</v>
      </c>
      <c r="E17" s="45">
        <f t="shared" si="1"/>
        <v>50</v>
      </c>
      <c r="F17" s="47">
        <f t="shared" si="2"/>
        <v>9682</v>
      </c>
      <c r="G17" s="53">
        <f t="shared" si="0"/>
        <v>484100</v>
      </c>
    </row>
    <row r="18" spans="1:7" x14ac:dyDescent="0.2">
      <c r="A18" s="49" t="s">
        <v>26</v>
      </c>
      <c r="B18" s="50">
        <v>1</v>
      </c>
      <c r="C18" s="45"/>
      <c r="D18" s="51">
        <v>0</v>
      </c>
      <c r="E18" s="52">
        <f t="shared" si="1"/>
        <v>0</v>
      </c>
      <c r="F18" s="47">
        <f t="shared" si="2"/>
        <v>9682</v>
      </c>
      <c r="G18" s="53">
        <f t="shared" si="0"/>
        <v>0</v>
      </c>
    </row>
    <row r="19" spans="1:7" x14ac:dyDescent="0.2">
      <c r="A19" s="49" t="s">
        <v>27</v>
      </c>
      <c r="B19" s="50">
        <v>1</v>
      </c>
      <c r="C19" s="45"/>
      <c r="D19" s="51">
        <v>0</v>
      </c>
      <c r="E19" s="52">
        <f t="shared" si="1"/>
        <v>0</v>
      </c>
      <c r="F19" s="47">
        <f t="shared" si="2"/>
        <v>9682</v>
      </c>
      <c r="G19" s="53">
        <f t="shared" si="0"/>
        <v>0</v>
      </c>
    </row>
    <row r="20" spans="1:7" x14ac:dyDescent="0.2">
      <c r="A20" s="49" t="s">
        <v>28</v>
      </c>
      <c r="B20" s="50">
        <v>1</v>
      </c>
      <c r="C20" s="45"/>
      <c r="D20" s="51">
        <v>0</v>
      </c>
      <c r="E20" s="52">
        <f t="shared" si="1"/>
        <v>0</v>
      </c>
      <c r="F20" s="47">
        <f t="shared" si="2"/>
        <v>9682</v>
      </c>
      <c r="G20" s="53">
        <f t="shared" si="0"/>
        <v>0</v>
      </c>
    </row>
    <row r="21" spans="1:7" x14ac:dyDescent="0.2">
      <c r="A21" s="49" t="s">
        <v>29</v>
      </c>
      <c r="B21" s="50">
        <v>1</v>
      </c>
      <c r="C21" s="45"/>
      <c r="D21" s="51">
        <v>0</v>
      </c>
      <c r="E21" s="45">
        <f t="shared" si="1"/>
        <v>0</v>
      </c>
      <c r="F21" s="47">
        <f t="shared" si="2"/>
        <v>9682</v>
      </c>
      <c r="G21" s="53">
        <f t="shared" si="0"/>
        <v>0</v>
      </c>
    </row>
    <row r="22" spans="1:7" x14ac:dyDescent="0.2">
      <c r="A22" s="54" t="s">
        <v>30</v>
      </c>
      <c r="B22" s="50">
        <v>1.08</v>
      </c>
      <c r="C22" s="45"/>
      <c r="D22" s="51">
        <v>0</v>
      </c>
      <c r="E22" s="52">
        <f t="shared" si="1"/>
        <v>0</v>
      </c>
      <c r="F22" s="47">
        <f t="shared" si="2"/>
        <v>10456.560000000001</v>
      </c>
      <c r="G22" s="53">
        <f t="shared" si="0"/>
        <v>0</v>
      </c>
    </row>
    <row r="23" spans="1:7" x14ac:dyDescent="0.2">
      <c r="A23" s="54" t="s">
        <v>31</v>
      </c>
      <c r="B23" s="50">
        <v>1.08</v>
      </c>
      <c r="C23" s="45">
        <f>+'[2]Data inputs'!W11</f>
        <v>0</v>
      </c>
      <c r="D23" s="51">
        <v>0</v>
      </c>
      <c r="E23" s="52">
        <f t="shared" si="1"/>
        <v>0</v>
      </c>
      <c r="F23" s="47">
        <f t="shared" si="2"/>
        <v>10456.560000000001</v>
      </c>
      <c r="G23" s="53">
        <f t="shared" si="0"/>
        <v>0</v>
      </c>
    </row>
    <row r="24" spans="1:7" x14ac:dyDescent="0.2">
      <c r="A24" s="54" t="s">
        <v>32</v>
      </c>
      <c r="B24" s="50">
        <v>1.08</v>
      </c>
      <c r="C24" s="45">
        <f>+'[2]Data inputs'!W12</f>
        <v>0</v>
      </c>
      <c r="D24" s="51">
        <v>0</v>
      </c>
      <c r="E24" s="52">
        <f t="shared" si="1"/>
        <v>0</v>
      </c>
      <c r="F24" s="47">
        <f t="shared" si="2"/>
        <v>10456.560000000001</v>
      </c>
      <c r="G24" s="53">
        <f t="shared" si="0"/>
        <v>0</v>
      </c>
    </row>
    <row r="25" spans="1:7" x14ac:dyDescent="0.2">
      <c r="A25" s="49" t="s">
        <v>33</v>
      </c>
      <c r="B25" s="50">
        <v>1.22</v>
      </c>
      <c r="C25" s="45">
        <f>+'[2]Data inputs'!W13</f>
        <v>0</v>
      </c>
      <c r="D25" s="51">
        <v>0</v>
      </c>
      <c r="E25" s="52">
        <f t="shared" si="1"/>
        <v>0</v>
      </c>
      <c r="F25" s="47">
        <f t="shared" si="2"/>
        <v>11812.039999999999</v>
      </c>
      <c r="G25" s="53">
        <f t="shared" si="0"/>
        <v>0</v>
      </c>
    </row>
    <row r="26" spans="1:7" x14ac:dyDescent="0.2">
      <c r="A26" s="49" t="s">
        <v>34</v>
      </c>
      <c r="B26" s="50">
        <v>1.22</v>
      </c>
      <c r="C26" s="45">
        <f>+'[2]Data inputs'!W14</f>
        <v>0</v>
      </c>
      <c r="D26" s="51">
        <v>0</v>
      </c>
      <c r="E26" s="52">
        <f t="shared" si="1"/>
        <v>0</v>
      </c>
      <c r="F26" s="47">
        <f t="shared" si="2"/>
        <v>11812.039999999999</v>
      </c>
      <c r="G26" s="53">
        <f t="shared" si="0"/>
        <v>0</v>
      </c>
    </row>
    <row r="27" spans="1:7" x14ac:dyDescent="0.2">
      <c r="A27" s="49" t="s">
        <v>35</v>
      </c>
      <c r="B27" s="50">
        <v>1.22</v>
      </c>
      <c r="C27" s="45">
        <f>+'[2]Data inputs'!W15</f>
        <v>0</v>
      </c>
      <c r="D27" s="51">
        <v>0</v>
      </c>
      <c r="E27" s="52">
        <f t="shared" si="1"/>
        <v>0</v>
      </c>
      <c r="F27" s="47">
        <f t="shared" si="2"/>
        <v>11812.039999999999</v>
      </c>
      <c r="G27" s="53">
        <f t="shared" si="0"/>
        <v>0</v>
      </c>
    </row>
    <row r="28" spans="1:7" x14ac:dyDescent="0.2">
      <c r="A28" s="49" t="s">
        <v>36</v>
      </c>
      <c r="B28" s="50">
        <v>1.22</v>
      </c>
      <c r="C28" s="45">
        <f>+'[2]Data inputs'!W16</f>
        <v>0</v>
      </c>
      <c r="D28" s="51">
        <v>0</v>
      </c>
      <c r="E28" s="52">
        <f t="shared" si="1"/>
        <v>0</v>
      </c>
      <c r="F28" s="47">
        <f t="shared" si="2"/>
        <v>11812.039999999999</v>
      </c>
      <c r="G28" s="53">
        <f t="shared" si="0"/>
        <v>0</v>
      </c>
    </row>
    <row r="29" spans="1:7" x14ac:dyDescent="0.2">
      <c r="A29" s="49" t="s">
        <v>37</v>
      </c>
      <c r="B29" s="50">
        <v>1.44</v>
      </c>
      <c r="C29" s="45">
        <f>+'[2]Data inputs'!W17</f>
        <v>0</v>
      </c>
      <c r="D29" s="51">
        <v>0</v>
      </c>
      <c r="E29" s="52">
        <f t="shared" si="1"/>
        <v>0</v>
      </c>
      <c r="F29" s="47">
        <f t="shared" si="2"/>
        <v>13942.08</v>
      </c>
      <c r="G29" s="53">
        <f t="shared" si="0"/>
        <v>0</v>
      </c>
    </row>
    <row r="30" spans="1:7" x14ac:dyDescent="0.2">
      <c r="A30" s="49" t="s">
        <v>38</v>
      </c>
      <c r="B30" s="50">
        <v>1.17</v>
      </c>
      <c r="C30" s="45">
        <f>+'[2]Data inputs'!W18</f>
        <v>0</v>
      </c>
      <c r="D30" s="51">
        <v>0</v>
      </c>
      <c r="E30" s="52">
        <f t="shared" si="1"/>
        <v>0</v>
      </c>
      <c r="F30" s="47">
        <f t="shared" si="2"/>
        <v>11327.939999999999</v>
      </c>
      <c r="G30" s="53">
        <f t="shared" si="0"/>
        <v>0</v>
      </c>
    </row>
    <row r="31" spans="1:7" ht="13.5" thickBot="1" x14ac:dyDescent="0.25">
      <c r="A31" s="55" t="s">
        <v>39</v>
      </c>
      <c r="B31" s="56">
        <v>0.89</v>
      </c>
      <c r="C31" s="45">
        <f>+'[2]Data inputs'!W19</f>
        <v>0</v>
      </c>
      <c r="D31" s="57">
        <v>0</v>
      </c>
      <c r="E31" s="58">
        <f t="shared" si="1"/>
        <v>0</v>
      </c>
      <c r="F31" s="47">
        <f t="shared" si="2"/>
        <v>8616.98</v>
      </c>
      <c r="G31" s="59">
        <f t="shared" si="0"/>
        <v>0</v>
      </c>
    </row>
    <row r="32" spans="1:7" ht="13.5" thickBot="1" x14ac:dyDescent="0.25">
      <c r="A32" s="60" t="s">
        <v>40</v>
      </c>
      <c r="B32" s="61"/>
      <c r="C32" s="62">
        <f>SUM(C14:C31)</f>
        <v>192</v>
      </c>
      <c r="D32" s="62">
        <f>SUM(D14:D31)</f>
        <v>0</v>
      </c>
      <c r="E32" s="62">
        <f>SUM(E14:E31)</f>
        <v>192</v>
      </c>
      <c r="F32" s="186"/>
      <c r="G32" s="63">
        <f>SUM(G14:G31)</f>
        <v>2289212.08</v>
      </c>
    </row>
    <row r="33" spans="1:7" ht="13.5" thickBot="1" x14ac:dyDescent="0.25">
      <c r="A33" s="64"/>
      <c r="B33" s="65"/>
      <c r="C33" s="66"/>
      <c r="D33" s="66"/>
      <c r="E33" s="67"/>
      <c r="F33" s="27"/>
      <c r="G33" s="28"/>
    </row>
    <row r="34" spans="1:7" x14ac:dyDescent="0.2">
      <c r="A34" s="68" t="s">
        <v>41</v>
      </c>
      <c r="B34" s="69" t="s">
        <v>16</v>
      </c>
      <c r="C34" s="69" t="s">
        <v>19</v>
      </c>
      <c r="D34" s="69" t="s">
        <v>42</v>
      </c>
      <c r="E34" s="69" t="s">
        <v>13</v>
      </c>
      <c r="F34" s="36" t="s">
        <v>20</v>
      </c>
      <c r="G34" s="37" t="s">
        <v>21</v>
      </c>
    </row>
    <row r="35" spans="1:7" x14ac:dyDescent="0.2">
      <c r="A35" s="49" t="s">
        <v>43</v>
      </c>
      <c r="B35" s="50">
        <v>0.97</v>
      </c>
      <c r="C35" s="45">
        <v>0</v>
      </c>
      <c r="D35" s="70">
        <v>0</v>
      </c>
      <c r="E35" s="52">
        <f t="shared" ref="E35:E39" si="3">C35+D35</f>
        <v>0</v>
      </c>
      <c r="F35" s="71">
        <f t="shared" ref="F35:F39" si="4">$C$6*B35</f>
        <v>9391.5399999999991</v>
      </c>
      <c r="G35" s="72">
        <f>E35*F35</f>
        <v>0</v>
      </c>
    </row>
    <row r="36" spans="1:7" x14ac:dyDescent="0.2">
      <c r="A36" s="49" t="s">
        <v>44</v>
      </c>
      <c r="B36" s="50">
        <v>1.2</v>
      </c>
      <c r="C36" s="45">
        <v>0</v>
      </c>
      <c r="D36" s="70">
        <v>0</v>
      </c>
      <c r="E36" s="52">
        <f t="shared" si="3"/>
        <v>0</v>
      </c>
      <c r="F36" s="73">
        <f t="shared" si="4"/>
        <v>11618.4</v>
      </c>
      <c r="G36" s="74">
        <f>E36*F36</f>
        <v>0</v>
      </c>
    </row>
    <row r="37" spans="1:7" x14ac:dyDescent="0.2">
      <c r="A37" s="49" t="s">
        <v>45</v>
      </c>
      <c r="B37" s="50">
        <v>1.97</v>
      </c>
      <c r="C37" s="45">
        <v>0</v>
      </c>
      <c r="D37" s="70">
        <v>0</v>
      </c>
      <c r="E37" s="52">
        <f t="shared" si="3"/>
        <v>0</v>
      </c>
      <c r="F37" s="73">
        <f t="shared" si="4"/>
        <v>19073.54</v>
      </c>
      <c r="G37" s="74">
        <f>E37*F37</f>
        <v>0</v>
      </c>
    </row>
    <row r="38" spans="1:7" x14ac:dyDescent="0.2">
      <c r="A38" s="49" t="s">
        <v>46</v>
      </c>
      <c r="B38" s="50">
        <v>3.49</v>
      </c>
      <c r="C38" s="45">
        <v>0</v>
      </c>
      <c r="D38" s="70">
        <v>0</v>
      </c>
      <c r="E38" s="52">
        <f t="shared" si="3"/>
        <v>0</v>
      </c>
      <c r="F38" s="73">
        <f t="shared" si="4"/>
        <v>33790.18</v>
      </c>
      <c r="G38" s="74">
        <f>E38*F38</f>
        <v>0</v>
      </c>
    </row>
    <row r="39" spans="1:7" x14ac:dyDescent="0.2">
      <c r="A39" s="49"/>
      <c r="B39" s="50"/>
      <c r="C39" s="45">
        <f>SUM(C35:C38)</f>
        <v>0</v>
      </c>
      <c r="D39" s="70">
        <f>SUM(D35:D38)</f>
        <v>0</v>
      </c>
      <c r="E39" s="52">
        <f t="shared" si="3"/>
        <v>0</v>
      </c>
      <c r="F39" s="73">
        <f t="shared" si="4"/>
        <v>0</v>
      </c>
      <c r="G39" s="74">
        <f>E39*F39</f>
        <v>0</v>
      </c>
    </row>
    <row r="40" spans="1:7" ht="13.5" thickBot="1" x14ac:dyDescent="0.25">
      <c r="A40" s="75" t="s">
        <v>47</v>
      </c>
      <c r="B40" s="76"/>
      <c r="C40" s="77">
        <f>C39</f>
        <v>0</v>
      </c>
      <c r="D40" s="77">
        <f>D39</f>
        <v>0</v>
      </c>
      <c r="E40" s="78">
        <f>SUM(E35:E38)</f>
        <v>0</v>
      </c>
      <c r="F40" s="79"/>
      <c r="G40" s="80">
        <f>SUM(G35:G39)</f>
        <v>0</v>
      </c>
    </row>
    <row r="41" spans="1:7" ht="13.5" thickBot="1" x14ac:dyDescent="0.25">
      <c r="A41" s="27"/>
      <c r="B41" s="81"/>
      <c r="C41" s="66"/>
      <c r="D41" s="66"/>
      <c r="E41" s="67"/>
      <c r="F41" s="27"/>
      <c r="G41" s="28"/>
    </row>
    <row r="42" spans="1:7" x14ac:dyDescent="0.2">
      <c r="A42" s="43" t="s">
        <v>48</v>
      </c>
      <c r="B42" s="82">
        <v>6.9000000000000006E-2</v>
      </c>
      <c r="C42" s="7">
        <f>C39</f>
        <v>0</v>
      </c>
      <c r="D42" s="7">
        <f>D40</f>
        <v>0</v>
      </c>
      <c r="E42" s="83">
        <f t="shared" ref="E42:E43" si="5">C42+D42</f>
        <v>0</v>
      </c>
      <c r="F42" s="84">
        <f t="shared" ref="F42:F43" si="6">$C$6*B42</f>
        <v>668.05800000000011</v>
      </c>
      <c r="G42" s="85">
        <f>E42*F42</f>
        <v>0</v>
      </c>
    </row>
    <row r="43" spans="1:7" ht="13.5" thickBot="1" x14ac:dyDescent="0.25">
      <c r="A43" s="86" t="s">
        <v>49</v>
      </c>
      <c r="B43" s="87">
        <v>8.8999999999999996E-2</v>
      </c>
      <c r="C43" s="88">
        <f>C39</f>
        <v>0</v>
      </c>
      <c r="D43" s="88">
        <f>D42</f>
        <v>0</v>
      </c>
      <c r="E43" s="58">
        <f t="shared" si="5"/>
        <v>0</v>
      </c>
      <c r="F43" s="89">
        <f t="shared" si="6"/>
        <v>861.69799999999998</v>
      </c>
      <c r="G43" s="90">
        <f>E43*F43</f>
        <v>0</v>
      </c>
    </row>
    <row r="44" spans="1:7" ht="13.5" thickBot="1" x14ac:dyDescent="0.25">
      <c r="A44" s="60" t="s">
        <v>50</v>
      </c>
      <c r="B44" s="61"/>
      <c r="C44" s="62">
        <f>C43</f>
        <v>0</v>
      </c>
      <c r="D44" s="62">
        <f>D43</f>
        <v>0</v>
      </c>
      <c r="E44" s="91"/>
      <c r="F44" s="92">
        <f>SUM(F42:F43)</f>
        <v>1529.7560000000001</v>
      </c>
      <c r="G44" s="93">
        <f>SUM(G42:G43)</f>
        <v>0</v>
      </c>
    </row>
    <row r="45" spans="1:7" ht="14.25" thickBot="1" x14ac:dyDescent="0.3">
      <c r="A45" s="94"/>
      <c r="B45" s="81"/>
      <c r="C45" s="66"/>
      <c r="D45" s="66"/>
      <c r="E45" s="67"/>
      <c r="F45" s="27"/>
      <c r="G45" s="28"/>
    </row>
    <row r="46" spans="1:7" x14ac:dyDescent="0.2">
      <c r="A46" s="95" t="s">
        <v>51</v>
      </c>
      <c r="B46" s="69" t="s">
        <v>16</v>
      </c>
      <c r="C46" s="69" t="s">
        <v>19</v>
      </c>
      <c r="D46" s="69" t="s">
        <v>52</v>
      </c>
      <c r="E46" s="69" t="s">
        <v>13</v>
      </c>
      <c r="F46" s="36" t="s">
        <v>20</v>
      </c>
      <c r="G46" s="37" t="s">
        <v>21</v>
      </c>
    </row>
    <row r="47" spans="1:7" ht="13.5" thickBot="1" x14ac:dyDescent="0.25">
      <c r="A47" s="96" t="s">
        <v>53</v>
      </c>
      <c r="B47" s="97">
        <v>0.49</v>
      </c>
      <c r="C47" s="98">
        <v>0</v>
      </c>
      <c r="D47" s="99">
        <v>0</v>
      </c>
      <c r="E47" s="100">
        <f>C47+D47</f>
        <v>0</v>
      </c>
      <c r="F47" s="101">
        <f>$C$6*B47</f>
        <v>4744.18</v>
      </c>
      <c r="G47" s="102">
        <f>E47*F47</f>
        <v>0</v>
      </c>
    </row>
    <row r="48" spans="1:7" ht="13.5" thickBot="1" x14ac:dyDescent="0.25">
      <c r="A48" s="27"/>
      <c r="B48" s="81"/>
      <c r="C48" s="66"/>
      <c r="D48" s="66"/>
      <c r="E48" s="67"/>
      <c r="F48" s="27"/>
      <c r="G48" s="28"/>
    </row>
    <row r="49" spans="1:10" ht="12.75" customHeight="1" x14ac:dyDescent="0.2">
      <c r="A49" s="103" t="s">
        <v>54</v>
      </c>
      <c r="B49" s="69" t="s">
        <v>16</v>
      </c>
      <c r="C49" s="69" t="s">
        <v>19</v>
      </c>
      <c r="D49" s="69" t="s">
        <v>42</v>
      </c>
      <c r="E49" s="69" t="s">
        <v>13</v>
      </c>
      <c r="F49" s="36" t="s">
        <v>20</v>
      </c>
      <c r="G49" s="37" t="s">
        <v>21</v>
      </c>
    </row>
    <row r="50" spans="1:10" ht="12.75" customHeight="1" x14ac:dyDescent="0.2">
      <c r="A50" s="104" t="s">
        <v>55</v>
      </c>
      <c r="B50" s="105">
        <v>0.36799999999999999</v>
      </c>
      <c r="C50" s="45">
        <v>0</v>
      </c>
      <c r="D50" s="70"/>
      <c r="E50" s="106">
        <f>C50+D50</f>
        <v>0</v>
      </c>
      <c r="F50" s="73">
        <f t="shared" ref="F50:F53" si="7">$C$6*B50</f>
        <v>3562.9760000000001</v>
      </c>
      <c r="G50" s="74">
        <f>E50*F50</f>
        <v>0</v>
      </c>
    </row>
    <row r="51" spans="1:10" ht="12.75" customHeight="1" x14ac:dyDescent="0.2">
      <c r="A51" s="104" t="s">
        <v>56</v>
      </c>
      <c r="B51" s="105">
        <v>1.337</v>
      </c>
      <c r="C51" s="45">
        <v>0</v>
      </c>
      <c r="D51" s="70"/>
      <c r="E51" s="107">
        <f t="shared" ref="E51:E53" si="8">C51+D51</f>
        <v>0</v>
      </c>
      <c r="F51" s="73">
        <f t="shared" si="7"/>
        <v>12944.833999999999</v>
      </c>
      <c r="G51" s="74">
        <f>E51*F51</f>
        <v>0</v>
      </c>
    </row>
    <row r="52" spans="1:10" ht="12.75" customHeight="1" x14ac:dyDescent="0.2">
      <c r="A52" s="104" t="s">
        <v>57</v>
      </c>
      <c r="B52" s="105">
        <v>2.891</v>
      </c>
      <c r="C52" s="45">
        <v>0</v>
      </c>
      <c r="D52" s="70"/>
      <c r="E52" s="107">
        <f t="shared" si="8"/>
        <v>0</v>
      </c>
      <c r="F52" s="73">
        <f t="shared" si="7"/>
        <v>27990.662</v>
      </c>
      <c r="G52" s="74">
        <f>E52*F52</f>
        <v>0</v>
      </c>
      <c r="J52" s="108"/>
    </row>
    <row r="53" spans="1:10" ht="12.75" customHeight="1" x14ac:dyDescent="0.2">
      <c r="A53" s="104" t="s">
        <v>58</v>
      </c>
      <c r="B53" s="105">
        <v>2.8740000000000001</v>
      </c>
      <c r="C53" s="45">
        <v>0</v>
      </c>
      <c r="D53" s="70"/>
      <c r="E53" s="107">
        <f t="shared" si="8"/>
        <v>0</v>
      </c>
      <c r="F53" s="73">
        <f t="shared" si="7"/>
        <v>27826.067999999999</v>
      </c>
      <c r="G53" s="74">
        <f>E53*F53</f>
        <v>0</v>
      </c>
      <c r="J53" s="108"/>
    </row>
    <row r="54" spans="1:10" ht="13.5" customHeight="1" thickBot="1" x14ac:dyDescent="0.25">
      <c r="A54" s="187" t="s">
        <v>59</v>
      </c>
      <c r="B54" s="109"/>
      <c r="C54" s="77">
        <f>SUM(C50:C53)</f>
        <v>0</v>
      </c>
      <c r="D54" s="77"/>
      <c r="E54" s="110">
        <f>SUM(E50:E53)</f>
        <v>0</v>
      </c>
      <c r="F54" s="111"/>
      <c r="G54" s="112">
        <f>SUM(G50:G53)</f>
        <v>0</v>
      </c>
      <c r="J54" s="108"/>
    </row>
    <row r="55" spans="1:10" ht="13.5" customHeight="1" thickBot="1" x14ac:dyDescent="0.25">
      <c r="A55" s="64"/>
      <c r="B55" s="113"/>
      <c r="C55" s="114"/>
      <c r="D55" s="66"/>
      <c r="E55" s="67"/>
      <c r="F55" s="27"/>
      <c r="G55" s="28"/>
      <c r="J55" s="108"/>
    </row>
    <row r="56" spans="1:10" ht="25.5" x14ac:dyDescent="0.2">
      <c r="A56" s="115" t="s">
        <v>60</v>
      </c>
      <c r="B56" s="69" t="s">
        <v>16</v>
      </c>
      <c r="C56" s="69" t="s">
        <v>19</v>
      </c>
      <c r="D56" s="69"/>
      <c r="E56" s="69" t="s">
        <v>13</v>
      </c>
      <c r="F56" s="36" t="s">
        <v>20</v>
      </c>
      <c r="G56" s="37" t="s">
        <v>21</v>
      </c>
      <c r="J56" s="108"/>
    </row>
    <row r="57" spans="1:10" ht="13.5" customHeight="1" thickBot="1" x14ac:dyDescent="0.25">
      <c r="A57" s="96" t="s">
        <v>61</v>
      </c>
      <c r="B57" s="116">
        <v>0.66800000000000004</v>
      </c>
      <c r="C57" s="99">
        <v>0</v>
      </c>
      <c r="D57" s="117"/>
      <c r="E57" s="100">
        <f>C57+D57</f>
        <v>0</v>
      </c>
      <c r="F57" s="101">
        <f>ROUND($C$6*B57,0)</f>
        <v>6468</v>
      </c>
      <c r="G57" s="102">
        <f>E57*F57</f>
        <v>0</v>
      </c>
      <c r="J57" s="108"/>
    </row>
    <row r="58" spans="1:10" ht="13.5" customHeight="1" thickBot="1" x14ac:dyDescent="0.25">
      <c r="A58" s="27"/>
      <c r="B58" s="113"/>
      <c r="C58" s="118"/>
      <c r="D58" s="66"/>
      <c r="E58" s="119"/>
      <c r="F58" s="27"/>
      <c r="G58" s="28"/>
      <c r="J58" s="108"/>
    </row>
    <row r="59" spans="1:10" ht="12.75" customHeight="1" x14ac:dyDescent="0.2">
      <c r="A59" s="95" t="s">
        <v>62</v>
      </c>
      <c r="B59" s="69" t="s">
        <v>16</v>
      </c>
      <c r="C59" s="69" t="s">
        <v>19</v>
      </c>
      <c r="D59" s="69"/>
      <c r="E59" s="69" t="s">
        <v>13</v>
      </c>
      <c r="F59" s="36" t="s">
        <v>20</v>
      </c>
      <c r="G59" s="37" t="s">
        <v>21</v>
      </c>
      <c r="J59" s="108"/>
    </row>
    <row r="60" spans="1:10" ht="13.5" customHeight="1" thickBot="1" x14ac:dyDescent="0.25">
      <c r="A60" s="96" t="s">
        <v>62</v>
      </c>
      <c r="B60" s="97">
        <v>1.67</v>
      </c>
      <c r="C60" s="99">
        <v>0</v>
      </c>
      <c r="D60" s="117"/>
      <c r="E60" s="100">
        <f>C60+D60</f>
        <v>0</v>
      </c>
      <c r="F60" s="101">
        <f>$C$6*B60</f>
        <v>16168.939999999999</v>
      </c>
      <c r="G60" s="102">
        <f>E60*F60</f>
        <v>0</v>
      </c>
      <c r="J60" s="108"/>
    </row>
    <row r="61" spans="1:10" ht="13.5" thickBot="1" x14ac:dyDescent="0.25">
      <c r="A61" s="27"/>
      <c r="B61" s="113"/>
      <c r="C61" s="118"/>
      <c r="D61" s="66"/>
      <c r="E61" s="119"/>
      <c r="F61" s="27"/>
      <c r="G61" s="28"/>
      <c r="J61" s="108"/>
    </row>
    <row r="62" spans="1:10" ht="13.5" thickBot="1" x14ac:dyDescent="0.25">
      <c r="A62" s="120" t="s">
        <v>63</v>
      </c>
      <c r="B62" s="121">
        <v>0.219</v>
      </c>
      <c r="C62" s="98">
        <v>0</v>
      </c>
      <c r="D62" s="122"/>
      <c r="E62" s="123">
        <f>C62+D62</f>
        <v>0</v>
      </c>
      <c r="F62" s="124">
        <f>ROUND(B62*C6,0)</f>
        <v>2120</v>
      </c>
      <c r="G62" s="125">
        <f>C62*F62</f>
        <v>0</v>
      </c>
      <c r="J62" s="108"/>
    </row>
    <row r="63" spans="1:10" ht="13.5" thickBot="1" x14ac:dyDescent="0.25">
      <c r="A63" s="126"/>
      <c r="B63" s="127"/>
      <c r="C63" s="128"/>
      <c r="D63" s="128"/>
      <c r="E63" s="129"/>
      <c r="F63" s="130"/>
      <c r="G63" s="131"/>
      <c r="J63" s="108"/>
    </row>
    <row r="64" spans="1:10" x14ac:dyDescent="0.2">
      <c r="A64" s="103" t="s">
        <v>64</v>
      </c>
      <c r="B64" s="69" t="s">
        <v>16</v>
      </c>
      <c r="C64" s="69" t="s">
        <v>19</v>
      </c>
      <c r="D64" s="69"/>
      <c r="E64" s="69" t="s">
        <v>13</v>
      </c>
      <c r="F64" s="36" t="s">
        <v>20</v>
      </c>
      <c r="G64" s="37" t="s">
        <v>21</v>
      </c>
      <c r="J64" s="108"/>
    </row>
    <row r="65" spans="1:10" ht="12.75" customHeight="1" x14ac:dyDescent="0.2">
      <c r="A65" s="49" t="s">
        <v>65</v>
      </c>
      <c r="B65" s="132">
        <v>6.3E-2</v>
      </c>
      <c r="C65" s="70">
        <v>0</v>
      </c>
      <c r="D65" s="45"/>
      <c r="E65" s="107"/>
      <c r="F65" s="73">
        <f t="shared" ref="F65:F68" si="9">$C$6*B65</f>
        <v>609.96600000000001</v>
      </c>
      <c r="G65" s="53">
        <f>C65*F65</f>
        <v>0</v>
      </c>
      <c r="J65" s="108"/>
    </row>
    <row r="66" spans="1:10" ht="12.75" customHeight="1" x14ac:dyDescent="0.2">
      <c r="A66" s="49" t="s">
        <v>66</v>
      </c>
      <c r="B66" s="132">
        <v>0.22700000000000001</v>
      </c>
      <c r="C66" s="70">
        <v>0</v>
      </c>
      <c r="D66" s="45"/>
      <c r="E66" s="107"/>
      <c r="F66" s="73">
        <f t="shared" si="9"/>
        <v>2197.8139999999999</v>
      </c>
      <c r="G66" s="53">
        <f>C66*F66</f>
        <v>0</v>
      </c>
      <c r="J66" s="108"/>
    </row>
    <row r="67" spans="1:10" ht="12.75" customHeight="1" x14ac:dyDescent="0.2">
      <c r="A67" s="49" t="s">
        <v>67</v>
      </c>
      <c r="B67" s="132">
        <v>0.49099999999999999</v>
      </c>
      <c r="C67" s="70">
        <v>0</v>
      </c>
      <c r="D67" s="45"/>
      <c r="E67" s="107"/>
      <c r="F67" s="73">
        <f t="shared" si="9"/>
        <v>4753.8620000000001</v>
      </c>
      <c r="G67" s="53">
        <f>C67*F67</f>
        <v>0</v>
      </c>
      <c r="J67" s="108"/>
    </row>
    <row r="68" spans="1:10" ht="12.75" customHeight="1" x14ac:dyDescent="0.2">
      <c r="A68" s="49" t="s">
        <v>68</v>
      </c>
      <c r="B68" s="132">
        <v>0.48899999999999999</v>
      </c>
      <c r="C68" s="70">
        <v>0</v>
      </c>
      <c r="D68" s="45"/>
      <c r="E68" s="107"/>
      <c r="F68" s="133">
        <f t="shared" si="9"/>
        <v>4734.4979999999996</v>
      </c>
      <c r="G68" s="53">
        <f>C68*F68</f>
        <v>0</v>
      </c>
      <c r="J68" s="108"/>
    </row>
    <row r="69" spans="1:10" ht="14.25" customHeight="1" thickBot="1" x14ac:dyDescent="0.3">
      <c r="A69" s="134" t="s">
        <v>69</v>
      </c>
      <c r="B69" s="135"/>
      <c r="C69" s="77">
        <f>SUM(C65:C68)</f>
        <v>0</v>
      </c>
      <c r="D69" s="77"/>
      <c r="E69" s="78"/>
      <c r="F69" s="79"/>
      <c r="G69" s="136">
        <f>SUM(G65:G68)</f>
        <v>0</v>
      </c>
      <c r="J69" s="108"/>
    </row>
    <row r="70" spans="1:10" ht="13.5" thickBot="1" x14ac:dyDescent="0.25">
      <c r="A70" s="137"/>
      <c r="B70" s="138"/>
      <c r="C70" s="139"/>
      <c r="D70" s="140"/>
      <c r="E70" s="141"/>
      <c r="F70" s="142"/>
      <c r="G70" s="143"/>
      <c r="J70" s="108"/>
    </row>
    <row r="71" spans="1:10" ht="13.5" thickBot="1" x14ac:dyDescent="0.25">
      <c r="A71" s="144" t="s">
        <v>70</v>
      </c>
      <c r="B71" s="145"/>
      <c r="C71" s="145"/>
      <c r="D71" s="145"/>
      <c r="E71" s="145"/>
      <c r="F71" s="145"/>
      <c r="G71" s="146">
        <f>G32+G40+G44+G47+G54+G57+G60+G62+G69</f>
        <v>2289212.08</v>
      </c>
      <c r="J71" s="108"/>
    </row>
    <row r="72" spans="1:10" ht="13.5" thickBot="1" x14ac:dyDescent="0.25">
      <c r="A72" s="126"/>
      <c r="B72" s="147"/>
      <c r="C72" s="27"/>
      <c r="D72" s="27"/>
      <c r="E72" s="148"/>
      <c r="F72" s="27"/>
      <c r="G72" s="28"/>
      <c r="J72" s="108"/>
    </row>
    <row r="73" spans="1:10" x14ac:dyDescent="0.2">
      <c r="A73" s="149" t="s">
        <v>71</v>
      </c>
      <c r="B73" s="150"/>
      <c r="C73" s="151"/>
      <c r="D73" s="151"/>
      <c r="E73" s="152"/>
      <c r="F73" s="151"/>
      <c r="G73" s="153"/>
      <c r="J73" s="108"/>
    </row>
    <row r="74" spans="1:10" x14ac:dyDescent="0.2">
      <c r="A74" s="49" t="s">
        <v>72</v>
      </c>
      <c r="B74" s="52"/>
      <c r="C74" s="45">
        <f>C32-C75</f>
        <v>192</v>
      </c>
      <c r="D74" s="52"/>
      <c r="E74" s="154">
        <f>C74+D74</f>
        <v>192</v>
      </c>
      <c r="F74" s="155">
        <f>+C7</f>
        <v>3124</v>
      </c>
      <c r="G74" s="156">
        <f>C74*F74</f>
        <v>599808</v>
      </c>
      <c r="J74" s="108"/>
    </row>
    <row r="75" spans="1:10" x14ac:dyDescent="0.2">
      <c r="A75" s="49" t="s">
        <v>73</v>
      </c>
      <c r="B75" s="52"/>
      <c r="C75" s="45">
        <f>C60</f>
        <v>0</v>
      </c>
      <c r="D75" s="157"/>
      <c r="E75" s="154">
        <f>C75+D75</f>
        <v>0</v>
      </c>
      <c r="F75" s="155">
        <f>C8</f>
        <v>8395</v>
      </c>
      <c r="G75" s="156">
        <f>C8*E75</f>
        <v>0</v>
      </c>
      <c r="J75" s="108"/>
    </row>
    <row r="76" spans="1:10" ht="13.5" thickBot="1" x14ac:dyDescent="0.25">
      <c r="A76" s="192" t="s">
        <v>74</v>
      </c>
      <c r="B76" s="193"/>
      <c r="C76" s="193"/>
      <c r="D76" s="193"/>
      <c r="E76" s="193"/>
      <c r="F76" s="193"/>
      <c r="G76" s="188">
        <f>G74+G75</f>
        <v>599808</v>
      </c>
      <c r="J76" s="108"/>
    </row>
    <row r="77" spans="1:10" ht="13.5" thickBot="1" x14ac:dyDescent="0.25">
      <c r="A77" s="158"/>
      <c r="B77" s="184"/>
      <c r="C77" s="184"/>
      <c r="D77" s="184"/>
      <c r="E77" s="184"/>
      <c r="F77" s="184"/>
      <c r="G77" s="159"/>
      <c r="J77" s="108"/>
    </row>
    <row r="78" spans="1:10" ht="16.5" thickBot="1" x14ac:dyDescent="0.3">
      <c r="A78" s="160"/>
      <c r="B78" s="161"/>
      <c r="C78" s="161"/>
      <c r="D78" s="161"/>
      <c r="E78" s="162"/>
      <c r="F78" s="163" t="s">
        <v>75</v>
      </c>
      <c r="G78" s="164">
        <f>SUM(G71+G76)</f>
        <v>2889020.08</v>
      </c>
      <c r="J78" s="108"/>
    </row>
    <row r="79" spans="1:10" x14ac:dyDescent="0.2">
      <c r="J79" s="108"/>
    </row>
    <row r="80" spans="1:10" x14ac:dyDescent="0.2">
      <c r="F80" s="8" t="s">
        <v>76</v>
      </c>
      <c r="G80" s="165" t="e">
        <f>+#REF!</f>
        <v>#REF!</v>
      </c>
    </row>
    <row r="81" spans="6:7" x14ac:dyDescent="0.2">
      <c r="F81" s="8" t="s">
        <v>77</v>
      </c>
      <c r="G81" s="166" t="e">
        <f>+#REF!</f>
        <v>#REF!</v>
      </c>
    </row>
    <row r="82" spans="6:7" x14ac:dyDescent="0.2">
      <c r="F82" s="8" t="s">
        <v>78</v>
      </c>
      <c r="G82" s="165">
        <v>0</v>
      </c>
    </row>
    <row r="83" spans="6:7" x14ac:dyDescent="0.2">
      <c r="F83" s="8" t="s">
        <v>79</v>
      </c>
      <c r="G83" s="165">
        <v>0</v>
      </c>
    </row>
    <row r="84" spans="6:7" x14ac:dyDescent="0.2">
      <c r="F84" s="8" t="s">
        <v>80</v>
      </c>
      <c r="G84" s="167" t="e">
        <f>SUM(G80:G83)</f>
        <v>#REF!</v>
      </c>
    </row>
  </sheetData>
  <mergeCells count="9">
    <mergeCell ref="D7:G7"/>
    <mergeCell ref="A76:F76"/>
    <mergeCell ref="A1:G1"/>
    <mergeCell ref="A2:G2"/>
    <mergeCell ref="A3:G3"/>
    <mergeCell ref="A4:G4"/>
    <mergeCell ref="A5:G5"/>
    <mergeCell ref="A6:B6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C14" sqref="C14:C18"/>
    </sheetView>
  </sheetViews>
  <sheetFormatPr defaultColWidth="7.42578125" defaultRowHeight="12.75" x14ac:dyDescent="0.2"/>
  <cols>
    <col min="1" max="1" width="31.42578125" style="8" customWidth="1"/>
    <col min="2" max="2" width="13.42578125" style="8" customWidth="1"/>
    <col min="3" max="3" width="15.7109375" style="8" customWidth="1"/>
    <col min="4" max="4" width="18.42578125" style="8" hidden="1" customWidth="1"/>
    <col min="5" max="5" width="15.7109375" style="8" hidden="1" customWidth="1"/>
    <col min="6" max="6" width="23.7109375" style="8" customWidth="1"/>
    <col min="7" max="7" width="22.42578125" style="8" customWidth="1"/>
    <col min="8" max="16384" width="7.42578125" style="6"/>
  </cols>
  <sheetData>
    <row r="1" spans="1:7" ht="18.75" x14ac:dyDescent="0.3">
      <c r="A1" s="194" t="s">
        <v>0</v>
      </c>
      <c r="B1" s="195"/>
      <c r="C1" s="195"/>
      <c r="D1" s="195"/>
      <c r="E1" s="195"/>
      <c r="F1" s="196"/>
      <c r="G1" s="196"/>
    </row>
    <row r="2" spans="1:7" ht="18.75" x14ac:dyDescent="0.3">
      <c r="A2" s="194" t="s">
        <v>1</v>
      </c>
      <c r="B2" s="195"/>
      <c r="C2" s="195"/>
      <c r="D2" s="195"/>
      <c r="E2" s="195"/>
      <c r="F2" s="196"/>
      <c r="G2" s="196"/>
    </row>
    <row r="3" spans="1:7" ht="22.5" x14ac:dyDescent="0.3">
      <c r="A3" s="197" t="s">
        <v>2</v>
      </c>
      <c r="B3" s="198"/>
      <c r="C3" s="198"/>
      <c r="D3" s="198"/>
      <c r="E3" s="198"/>
      <c r="F3" s="198"/>
      <c r="G3" s="199"/>
    </row>
    <row r="4" spans="1:7" ht="22.5" x14ac:dyDescent="0.3">
      <c r="A4" s="197" t="s">
        <v>3</v>
      </c>
      <c r="B4" s="197"/>
      <c r="C4" s="197"/>
      <c r="D4" s="197"/>
      <c r="E4" s="197"/>
      <c r="F4" s="197"/>
      <c r="G4" s="197"/>
    </row>
    <row r="5" spans="1:7" ht="19.5" thickBot="1" x14ac:dyDescent="0.35">
      <c r="A5" s="200" t="s">
        <v>4</v>
      </c>
      <c r="B5" s="201"/>
      <c r="C5" s="201"/>
      <c r="D5" s="201"/>
      <c r="E5" s="201"/>
      <c r="F5" s="202"/>
      <c r="G5" s="202"/>
    </row>
    <row r="6" spans="1:7" ht="13.5" thickBot="1" x14ac:dyDescent="0.25">
      <c r="A6" s="203" t="s">
        <v>5</v>
      </c>
      <c r="B6" s="196"/>
      <c r="C6" s="22">
        <v>9682</v>
      </c>
      <c r="D6" s="23"/>
      <c r="E6" s="204"/>
      <c r="F6" s="205"/>
      <c r="G6" s="205"/>
    </row>
    <row r="7" spans="1:7" ht="15" x14ac:dyDescent="0.25">
      <c r="A7" s="24" t="s">
        <v>6</v>
      </c>
      <c r="B7" s="24"/>
      <c r="C7" s="25">
        <v>3124</v>
      </c>
      <c r="D7" s="190"/>
      <c r="E7" s="191"/>
      <c r="F7" s="191"/>
      <c r="G7" s="191"/>
    </row>
    <row r="8" spans="1:7" x14ac:dyDescent="0.2">
      <c r="A8" s="24" t="s">
        <v>7</v>
      </c>
      <c r="B8" s="24"/>
      <c r="C8" s="26">
        <v>8395</v>
      </c>
      <c r="D8" s="23"/>
      <c r="E8" s="183"/>
      <c r="F8" s="27"/>
      <c r="G8" s="28"/>
    </row>
    <row r="9" spans="1:7" x14ac:dyDescent="0.2">
      <c r="A9" s="24"/>
      <c r="B9" s="24"/>
      <c r="C9" s="29"/>
      <c r="D9" s="29"/>
      <c r="E9" s="30"/>
      <c r="F9" s="27"/>
      <c r="G9" s="28"/>
    </row>
    <row r="10" spans="1:7" x14ac:dyDescent="0.2">
      <c r="A10" s="24" t="s">
        <v>8</v>
      </c>
      <c r="B10" s="24"/>
      <c r="C10" s="30" t="s">
        <v>9</v>
      </c>
      <c r="D10" s="29"/>
      <c r="E10" s="30"/>
      <c r="F10" s="27"/>
      <c r="G10" s="28"/>
    </row>
    <row r="11" spans="1:7" ht="13.5" thickBot="1" x14ac:dyDescent="0.25">
      <c r="A11" s="24"/>
      <c r="B11" s="24"/>
      <c r="C11" s="29"/>
      <c r="D11" s="29"/>
      <c r="E11" s="30"/>
      <c r="F11" s="27"/>
      <c r="G11" s="28"/>
    </row>
    <row r="12" spans="1:7" ht="25.5" x14ac:dyDescent="0.2">
      <c r="A12" s="31" t="s">
        <v>10</v>
      </c>
      <c r="B12" s="32"/>
      <c r="C12" s="33" t="s">
        <v>11</v>
      </c>
      <c r="D12" s="34" t="s">
        <v>12</v>
      </c>
      <c r="E12" s="35" t="s">
        <v>13</v>
      </c>
      <c r="F12" s="36" t="s">
        <v>14</v>
      </c>
      <c r="G12" s="37" t="s">
        <v>13</v>
      </c>
    </row>
    <row r="13" spans="1:7" ht="13.5" thickBot="1" x14ac:dyDescent="0.25">
      <c r="A13" s="38" t="s">
        <v>15</v>
      </c>
      <c r="B13" s="39" t="s">
        <v>16</v>
      </c>
      <c r="C13" s="40" t="s">
        <v>17</v>
      </c>
      <c r="D13" s="39" t="s">
        <v>18</v>
      </c>
      <c r="E13" s="39" t="s">
        <v>19</v>
      </c>
      <c r="F13" s="41" t="s">
        <v>20</v>
      </c>
      <c r="G13" s="42" t="s">
        <v>21</v>
      </c>
    </row>
    <row r="14" spans="1:7" x14ac:dyDescent="0.2">
      <c r="A14" s="43" t="s">
        <v>22</v>
      </c>
      <c r="B14" s="44">
        <v>1.34</v>
      </c>
      <c r="C14" s="45">
        <v>47</v>
      </c>
      <c r="D14" s="46">
        <v>0</v>
      </c>
      <c r="E14" s="7">
        <f>C14+D14</f>
        <v>47</v>
      </c>
      <c r="F14" s="47">
        <f>$C$6*B14</f>
        <v>12973.880000000001</v>
      </c>
      <c r="G14" s="48">
        <f t="shared" ref="G14:G31" si="0">E14*F14</f>
        <v>609772.3600000001</v>
      </c>
    </row>
    <row r="15" spans="1:7" x14ac:dyDescent="0.2">
      <c r="A15" s="49" t="s">
        <v>23</v>
      </c>
      <c r="B15" s="50">
        <v>1.3</v>
      </c>
      <c r="C15" s="45">
        <v>47</v>
      </c>
      <c r="D15" s="51">
        <v>0</v>
      </c>
      <c r="E15" s="52">
        <f t="shared" ref="E15:E31" si="1">C15+D15</f>
        <v>47</v>
      </c>
      <c r="F15" s="47">
        <f t="shared" ref="F15:F31" si="2">$C$6*B15</f>
        <v>12586.6</v>
      </c>
      <c r="G15" s="53">
        <f t="shared" si="0"/>
        <v>591570.20000000007</v>
      </c>
    </row>
    <row r="16" spans="1:7" x14ac:dyDescent="0.2">
      <c r="A16" s="49" t="s">
        <v>24</v>
      </c>
      <c r="B16" s="50">
        <v>1.3</v>
      </c>
      <c r="C16" s="45">
        <v>50</v>
      </c>
      <c r="D16" s="51">
        <v>0</v>
      </c>
      <c r="E16" s="45">
        <f>C16+D16</f>
        <v>50</v>
      </c>
      <c r="F16" s="47">
        <f t="shared" si="2"/>
        <v>12586.6</v>
      </c>
      <c r="G16" s="53">
        <f t="shared" si="0"/>
        <v>629330</v>
      </c>
    </row>
    <row r="17" spans="1:7" x14ac:dyDescent="0.2">
      <c r="A17" s="49" t="s">
        <v>25</v>
      </c>
      <c r="B17" s="50">
        <v>1</v>
      </c>
      <c r="C17" s="45">
        <v>50</v>
      </c>
      <c r="D17" s="51">
        <v>0</v>
      </c>
      <c r="E17" s="45">
        <f t="shared" si="1"/>
        <v>50</v>
      </c>
      <c r="F17" s="47">
        <f t="shared" si="2"/>
        <v>9682</v>
      </c>
      <c r="G17" s="53">
        <f t="shared" si="0"/>
        <v>484100</v>
      </c>
    </row>
    <row r="18" spans="1:7" x14ac:dyDescent="0.2">
      <c r="A18" s="49" t="s">
        <v>26</v>
      </c>
      <c r="B18" s="50">
        <v>1</v>
      </c>
      <c r="C18" s="45">
        <v>50</v>
      </c>
      <c r="D18" s="51">
        <v>0</v>
      </c>
      <c r="E18" s="52">
        <f t="shared" si="1"/>
        <v>50</v>
      </c>
      <c r="F18" s="47">
        <f t="shared" si="2"/>
        <v>9682</v>
      </c>
      <c r="G18" s="53">
        <f t="shared" si="0"/>
        <v>484100</v>
      </c>
    </row>
    <row r="19" spans="1:7" x14ac:dyDescent="0.2">
      <c r="A19" s="49" t="s">
        <v>27</v>
      </c>
      <c r="B19" s="50">
        <v>1</v>
      </c>
      <c r="C19" s="45"/>
      <c r="D19" s="51">
        <v>0</v>
      </c>
      <c r="E19" s="52">
        <f t="shared" si="1"/>
        <v>0</v>
      </c>
      <c r="F19" s="47">
        <f t="shared" si="2"/>
        <v>9682</v>
      </c>
      <c r="G19" s="53">
        <f t="shared" si="0"/>
        <v>0</v>
      </c>
    </row>
    <row r="20" spans="1:7" x14ac:dyDescent="0.2">
      <c r="A20" s="49" t="s">
        <v>28</v>
      </c>
      <c r="B20" s="50">
        <v>1</v>
      </c>
      <c r="C20" s="45"/>
      <c r="D20" s="51">
        <v>0</v>
      </c>
      <c r="E20" s="52">
        <f t="shared" si="1"/>
        <v>0</v>
      </c>
      <c r="F20" s="47">
        <f t="shared" si="2"/>
        <v>9682</v>
      </c>
      <c r="G20" s="53">
        <f t="shared" si="0"/>
        <v>0</v>
      </c>
    </row>
    <row r="21" spans="1:7" x14ac:dyDescent="0.2">
      <c r="A21" s="49" t="s">
        <v>29</v>
      </c>
      <c r="B21" s="50">
        <v>1</v>
      </c>
      <c r="C21" s="45"/>
      <c r="D21" s="51">
        <v>0</v>
      </c>
      <c r="E21" s="45">
        <f t="shared" si="1"/>
        <v>0</v>
      </c>
      <c r="F21" s="47">
        <f t="shared" si="2"/>
        <v>9682</v>
      </c>
      <c r="G21" s="53">
        <f t="shared" si="0"/>
        <v>0</v>
      </c>
    </row>
    <row r="22" spans="1:7" x14ac:dyDescent="0.2">
      <c r="A22" s="54" t="s">
        <v>30</v>
      </c>
      <c r="B22" s="50">
        <v>1.08</v>
      </c>
      <c r="C22" s="45"/>
      <c r="D22" s="51">
        <v>0</v>
      </c>
      <c r="E22" s="52">
        <f t="shared" si="1"/>
        <v>0</v>
      </c>
      <c r="F22" s="47">
        <f t="shared" si="2"/>
        <v>10456.560000000001</v>
      </c>
      <c r="G22" s="53">
        <f t="shared" si="0"/>
        <v>0</v>
      </c>
    </row>
    <row r="23" spans="1:7" x14ac:dyDescent="0.2">
      <c r="A23" s="54" t="s">
        <v>31</v>
      </c>
      <c r="B23" s="50">
        <v>1.08</v>
      </c>
      <c r="C23" s="45">
        <f>+'[2]Data inputs'!W11</f>
        <v>0</v>
      </c>
      <c r="D23" s="51">
        <v>0</v>
      </c>
      <c r="E23" s="52">
        <f t="shared" si="1"/>
        <v>0</v>
      </c>
      <c r="F23" s="47">
        <f t="shared" si="2"/>
        <v>10456.560000000001</v>
      </c>
      <c r="G23" s="53">
        <f t="shared" si="0"/>
        <v>0</v>
      </c>
    </row>
    <row r="24" spans="1:7" x14ac:dyDescent="0.2">
      <c r="A24" s="54" t="s">
        <v>32</v>
      </c>
      <c r="B24" s="50">
        <v>1.08</v>
      </c>
      <c r="C24" s="45">
        <f>+'[2]Data inputs'!W12</f>
        <v>0</v>
      </c>
      <c r="D24" s="51">
        <v>0</v>
      </c>
      <c r="E24" s="52">
        <f t="shared" si="1"/>
        <v>0</v>
      </c>
      <c r="F24" s="47">
        <f t="shared" si="2"/>
        <v>10456.560000000001</v>
      </c>
      <c r="G24" s="53">
        <f t="shared" si="0"/>
        <v>0</v>
      </c>
    </row>
    <row r="25" spans="1:7" x14ac:dyDescent="0.2">
      <c r="A25" s="49" t="s">
        <v>33</v>
      </c>
      <c r="B25" s="50">
        <v>1.22</v>
      </c>
      <c r="C25" s="45">
        <f>+'[2]Data inputs'!W13</f>
        <v>0</v>
      </c>
      <c r="D25" s="51">
        <v>0</v>
      </c>
      <c r="E25" s="52">
        <f t="shared" si="1"/>
        <v>0</v>
      </c>
      <c r="F25" s="47">
        <f t="shared" si="2"/>
        <v>11812.039999999999</v>
      </c>
      <c r="G25" s="53">
        <f t="shared" si="0"/>
        <v>0</v>
      </c>
    </row>
    <row r="26" spans="1:7" x14ac:dyDescent="0.2">
      <c r="A26" s="49" t="s">
        <v>34</v>
      </c>
      <c r="B26" s="50">
        <v>1.22</v>
      </c>
      <c r="C26" s="45">
        <f>+'[2]Data inputs'!W14</f>
        <v>0</v>
      </c>
      <c r="D26" s="51">
        <v>0</v>
      </c>
      <c r="E26" s="52">
        <f t="shared" si="1"/>
        <v>0</v>
      </c>
      <c r="F26" s="47">
        <f t="shared" si="2"/>
        <v>11812.039999999999</v>
      </c>
      <c r="G26" s="53">
        <f t="shared" si="0"/>
        <v>0</v>
      </c>
    </row>
    <row r="27" spans="1:7" x14ac:dyDescent="0.2">
      <c r="A27" s="49" t="s">
        <v>35</v>
      </c>
      <c r="B27" s="50">
        <v>1.22</v>
      </c>
      <c r="C27" s="45">
        <f>+'[2]Data inputs'!W15</f>
        <v>0</v>
      </c>
      <c r="D27" s="51">
        <v>0</v>
      </c>
      <c r="E27" s="52">
        <f t="shared" si="1"/>
        <v>0</v>
      </c>
      <c r="F27" s="47">
        <f t="shared" si="2"/>
        <v>11812.039999999999</v>
      </c>
      <c r="G27" s="53">
        <f t="shared" si="0"/>
        <v>0</v>
      </c>
    </row>
    <row r="28" spans="1:7" x14ac:dyDescent="0.2">
      <c r="A28" s="49" t="s">
        <v>36</v>
      </c>
      <c r="B28" s="50">
        <v>1.22</v>
      </c>
      <c r="C28" s="45">
        <f>+'[2]Data inputs'!W16</f>
        <v>0</v>
      </c>
      <c r="D28" s="51">
        <v>0</v>
      </c>
      <c r="E28" s="52">
        <f t="shared" si="1"/>
        <v>0</v>
      </c>
      <c r="F28" s="47">
        <f t="shared" si="2"/>
        <v>11812.039999999999</v>
      </c>
      <c r="G28" s="53">
        <f t="shared" si="0"/>
        <v>0</v>
      </c>
    </row>
    <row r="29" spans="1:7" x14ac:dyDescent="0.2">
      <c r="A29" s="49" t="s">
        <v>37</v>
      </c>
      <c r="B29" s="50">
        <v>1.44</v>
      </c>
      <c r="C29" s="45">
        <f>+'[2]Data inputs'!W17</f>
        <v>0</v>
      </c>
      <c r="D29" s="51">
        <v>0</v>
      </c>
      <c r="E29" s="52">
        <f t="shared" si="1"/>
        <v>0</v>
      </c>
      <c r="F29" s="47">
        <f t="shared" si="2"/>
        <v>13942.08</v>
      </c>
      <c r="G29" s="53">
        <f t="shared" si="0"/>
        <v>0</v>
      </c>
    </row>
    <row r="30" spans="1:7" x14ac:dyDescent="0.2">
      <c r="A30" s="49" t="s">
        <v>38</v>
      </c>
      <c r="B30" s="50">
        <v>1.17</v>
      </c>
      <c r="C30" s="45">
        <f>+'[2]Data inputs'!W18</f>
        <v>0</v>
      </c>
      <c r="D30" s="51">
        <v>0</v>
      </c>
      <c r="E30" s="52">
        <f t="shared" si="1"/>
        <v>0</v>
      </c>
      <c r="F30" s="47">
        <f t="shared" si="2"/>
        <v>11327.939999999999</v>
      </c>
      <c r="G30" s="53">
        <f t="shared" si="0"/>
        <v>0</v>
      </c>
    </row>
    <row r="31" spans="1:7" ht="13.5" thickBot="1" x14ac:dyDescent="0.25">
      <c r="A31" s="55" t="s">
        <v>39</v>
      </c>
      <c r="B31" s="56">
        <v>0.89</v>
      </c>
      <c r="C31" s="45">
        <f>+'[2]Data inputs'!W19</f>
        <v>0</v>
      </c>
      <c r="D31" s="57">
        <v>0</v>
      </c>
      <c r="E31" s="58">
        <f t="shared" si="1"/>
        <v>0</v>
      </c>
      <c r="F31" s="47">
        <f t="shared" si="2"/>
        <v>8616.98</v>
      </c>
      <c r="G31" s="59">
        <f t="shared" si="0"/>
        <v>0</v>
      </c>
    </row>
    <row r="32" spans="1:7" ht="13.5" thickBot="1" x14ac:dyDescent="0.25">
      <c r="A32" s="60" t="s">
        <v>40</v>
      </c>
      <c r="B32" s="61"/>
      <c r="C32" s="62">
        <f>SUM(C14:C31)</f>
        <v>244</v>
      </c>
      <c r="D32" s="62">
        <f>SUM(D14:D31)</f>
        <v>0</v>
      </c>
      <c r="E32" s="62">
        <f>SUM(E14:E31)</f>
        <v>244</v>
      </c>
      <c r="F32" s="186"/>
      <c r="G32" s="63">
        <f>SUM(G14:G31)</f>
        <v>2798872.56</v>
      </c>
    </row>
    <row r="33" spans="1:7" ht="13.5" thickBot="1" x14ac:dyDescent="0.25">
      <c r="A33" s="64"/>
      <c r="B33" s="65"/>
      <c r="C33" s="66"/>
      <c r="D33" s="66"/>
      <c r="E33" s="67"/>
      <c r="F33" s="27"/>
      <c r="G33" s="28"/>
    </row>
    <row r="34" spans="1:7" x14ac:dyDescent="0.2">
      <c r="A34" s="68" t="s">
        <v>41</v>
      </c>
      <c r="B34" s="69" t="s">
        <v>16</v>
      </c>
      <c r="C34" s="69" t="s">
        <v>19</v>
      </c>
      <c r="D34" s="69" t="s">
        <v>42</v>
      </c>
      <c r="E34" s="69" t="s">
        <v>13</v>
      </c>
      <c r="F34" s="36" t="s">
        <v>20</v>
      </c>
      <c r="G34" s="37" t="s">
        <v>21</v>
      </c>
    </row>
    <row r="35" spans="1:7" x14ac:dyDescent="0.2">
      <c r="A35" s="49" t="s">
        <v>43</v>
      </c>
      <c r="B35" s="50">
        <v>0.97</v>
      </c>
      <c r="C35" s="45">
        <v>0</v>
      </c>
      <c r="D35" s="70">
        <v>0</v>
      </c>
      <c r="E35" s="52">
        <f t="shared" ref="E35:E39" si="3">C35+D35</f>
        <v>0</v>
      </c>
      <c r="F35" s="71">
        <f t="shared" ref="F35:F39" si="4">$C$6*B35</f>
        <v>9391.5399999999991</v>
      </c>
      <c r="G35" s="72">
        <f>E35*F35</f>
        <v>0</v>
      </c>
    </row>
    <row r="36" spans="1:7" x14ac:dyDescent="0.2">
      <c r="A36" s="49" t="s">
        <v>44</v>
      </c>
      <c r="B36" s="50">
        <v>1.2</v>
      </c>
      <c r="C36" s="45">
        <v>0</v>
      </c>
      <c r="D36" s="70">
        <v>0</v>
      </c>
      <c r="E36" s="52">
        <f t="shared" si="3"/>
        <v>0</v>
      </c>
      <c r="F36" s="73">
        <f t="shared" si="4"/>
        <v>11618.4</v>
      </c>
      <c r="G36" s="74">
        <f>E36*F36</f>
        <v>0</v>
      </c>
    </row>
    <row r="37" spans="1:7" x14ac:dyDescent="0.2">
      <c r="A37" s="49" t="s">
        <v>45</v>
      </c>
      <c r="B37" s="50">
        <v>1.97</v>
      </c>
      <c r="C37" s="45">
        <v>0</v>
      </c>
      <c r="D37" s="70">
        <v>0</v>
      </c>
      <c r="E37" s="52">
        <f t="shared" si="3"/>
        <v>0</v>
      </c>
      <c r="F37" s="73">
        <f t="shared" si="4"/>
        <v>19073.54</v>
      </c>
      <c r="G37" s="74">
        <f>E37*F37</f>
        <v>0</v>
      </c>
    </row>
    <row r="38" spans="1:7" x14ac:dyDescent="0.2">
      <c r="A38" s="49" t="s">
        <v>46</v>
      </c>
      <c r="B38" s="50">
        <v>3.49</v>
      </c>
      <c r="C38" s="45">
        <v>0</v>
      </c>
      <c r="D38" s="70">
        <v>0</v>
      </c>
      <c r="E38" s="52">
        <f t="shared" si="3"/>
        <v>0</v>
      </c>
      <c r="F38" s="73">
        <f t="shared" si="4"/>
        <v>33790.18</v>
      </c>
      <c r="G38" s="74">
        <f>E38*F38</f>
        <v>0</v>
      </c>
    </row>
    <row r="39" spans="1:7" x14ac:dyDescent="0.2">
      <c r="A39" s="49"/>
      <c r="B39" s="50"/>
      <c r="C39" s="45">
        <f>SUM(C35:C38)</f>
        <v>0</v>
      </c>
      <c r="D39" s="70">
        <f>SUM(D35:D38)</f>
        <v>0</v>
      </c>
      <c r="E39" s="52">
        <f t="shared" si="3"/>
        <v>0</v>
      </c>
      <c r="F39" s="73">
        <f t="shared" si="4"/>
        <v>0</v>
      </c>
      <c r="G39" s="74">
        <f>E39*F39</f>
        <v>0</v>
      </c>
    </row>
    <row r="40" spans="1:7" ht="13.5" thickBot="1" x14ac:dyDescent="0.25">
      <c r="A40" s="75" t="s">
        <v>47</v>
      </c>
      <c r="B40" s="76"/>
      <c r="C40" s="77">
        <f>C39</f>
        <v>0</v>
      </c>
      <c r="D40" s="77">
        <f>D39</f>
        <v>0</v>
      </c>
      <c r="E40" s="78">
        <f>SUM(E35:E38)</f>
        <v>0</v>
      </c>
      <c r="F40" s="79"/>
      <c r="G40" s="80">
        <f>SUM(G35:G39)</f>
        <v>0</v>
      </c>
    </row>
    <row r="41" spans="1:7" ht="13.5" thickBot="1" x14ac:dyDescent="0.25">
      <c r="A41" s="27"/>
      <c r="B41" s="81"/>
      <c r="C41" s="66"/>
      <c r="D41" s="66"/>
      <c r="E41" s="67"/>
      <c r="F41" s="27"/>
      <c r="G41" s="28"/>
    </row>
    <row r="42" spans="1:7" x14ac:dyDescent="0.2">
      <c r="A42" s="43" t="s">
        <v>48</v>
      </c>
      <c r="B42" s="82">
        <v>6.9000000000000006E-2</v>
      </c>
      <c r="C42" s="7">
        <f>C39</f>
        <v>0</v>
      </c>
      <c r="D42" s="7">
        <f>D40</f>
        <v>0</v>
      </c>
      <c r="E42" s="83">
        <f t="shared" ref="E42:E43" si="5">C42+D42</f>
        <v>0</v>
      </c>
      <c r="F42" s="84">
        <f t="shared" ref="F42:F43" si="6">$C$6*B42</f>
        <v>668.05800000000011</v>
      </c>
      <c r="G42" s="85">
        <f>E42*F42</f>
        <v>0</v>
      </c>
    </row>
    <row r="43" spans="1:7" ht="13.5" thickBot="1" x14ac:dyDescent="0.25">
      <c r="A43" s="86" t="s">
        <v>49</v>
      </c>
      <c r="B43" s="87">
        <v>8.8999999999999996E-2</v>
      </c>
      <c r="C43" s="88">
        <f>C39</f>
        <v>0</v>
      </c>
      <c r="D43" s="88">
        <f>D42</f>
        <v>0</v>
      </c>
      <c r="E43" s="58">
        <f t="shared" si="5"/>
        <v>0</v>
      </c>
      <c r="F43" s="89">
        <f t="shared" si="6"/>
        <v>861.69799999999998</v>
      </c>
      <c r="G43" s="90">
        <f>E43*F43</f>
        <v>0</v>
      </c>
    </row>
    <row r="44" spans="1:7" ht="13.5" thickBot="1" x14ac:dyDescent="0.25">
      <c r="A44" s="60" t="s">
        <v>50</v>
      </c>
      <c r="B44" s="61"/>
      <c r="C44" s="62">
        <f>C43</f>
        <v>0</v>
      </c>
      <c r="D44" s="62">
        <f>D43</f>
        <v>0</v>
      </c>
      <c r="E44" s="91"/>
      <c r="F44" s="92">
        <f>SUM(F42:F43)</f>
        <v>1529.7560000000001</v>
      </c>
      <c r="G44" s="93">
        <f>SUM(G42:G43)</f>
        <v>0</v>
      </c>
    </row>
    <row r="45" spans="1:7" ht="14.25" thickBot="1" x14ac:dyDescent="0.3">
      <c r="A45" s="94"/>
      <c r="B45" s="81"/>
      <c r="C45" s="66"/>
      <c r="D45" s="66"/>
      <c r="E45" s="67"/>
      <c r="F45" s="27"/>
      <c r="G45" s="28"/>
    </row>
    <row r="46" spans="1:7" x14ac:dyDescent="0.2">
      <c r="A46" s="95" t="s">
        <v>51</v>
      </c>
      <c r="B46" s="69" t="s">
        <v>16</v>
      </c>
      <c r="C46" s="69" t="s">
        <v>19</v>
      </c>
      <c r="D46" s="69" t="s">
        <v>52</v>
      </c>
      <c r="E46" s="69" t="s">
        <v>13</v>
      </c>
      <c r="F46" s="36" t="s">
        <v>20</v>
      </c>
      <c r="G46" s="37" t="s">
        <v>21</v>
      </c>
    </row>
    <row r="47" spans="1:7" ht="13.5" thickBot="1" x14ac:dyDescent="0.25">
      <c r="A47" s="96" t="s">
        <v>53</v>
      </c>
      <c r="B47" s="97">
        <v>0.49</v>
      </c>
      <c r="C47" s="98">
        <v>0</v>
      </c>
      <c r="D47" s="99">
        <v>0</v>
      </c>
      <c r="E47" s="100">
        <f>C47+D47</f>
        <v>0</v>
      </c>
      <c r="F47" s="101">
        <f>$C$6*B47</f>
        <v>4744.18</v>
      </c>
      <c r="G47" s="102">
        <f>E47*F47</f>
        <v>0</v>
      </c>
    </row>
    <row r="48" spans="1:7" ht="13.5" thickBot="1" x14ac:dyDescent="0.25">
      <c r="A48" s="27"/>
      <c r="B48" s="81"/>
      <c r="C48" s="66"/>
      <c r="D48" s="66"/>
      <c r="E48" s="67"/>
      <c r="F48" s="27"/>
      <c r="G48" s="28"/>
    </row>
    <row r="49" spans="1:10" ht="12.75" customHeight="1" x14ac:dyDescent="0.2">
      <c r="A49" s="103" t="s">
        <v>54</v>
      </c>
      <c r="B49" s="69" t="s">
        <v>16</v>
      </c>
      <c r="C49" s="69" t="s">
        <v>19</v>
      </c>
      <c r="D49" s="69" t="s">
        <v>42</v>
      </c>
      <c r="E49" s="69" t="s">
        <v>13</v>
      </c>
      <c r="F49" s="36" t="s">
        <v>20</v>
      </c>
      <c r="G49" s="37" t="s">
        <v>21</v>
      </c>
    </row>
    <row r="50" spans="1:10" ht="12.75" customHeight="1" x14ac:dyDescent="0.2">
      <c r="A50" s="104" t="s">
        <v>55</v>
      </c>
      <c r="B50" s="105">
        <v>0.36799999999999999</v>
      </c>
      <c r="C50" s="45">
        <v>0</v>
      </c>
      <c r="D50" s="70"/>
      <c r="E50" s="106">
        <f>C50+D50</f>
        <v>0</v>
      </c>
      <c r="F50" s="73">
        <f t="shared" ref="F50:F53" si="7">$C$6*B50</f>
        <v>3562.9760000000001</v>
      </c>
      <c r="G50" s="74">
        <f>E50*F50</f>
        <v>0</v>
      </c>
    </row>
    <row r="51" spans="1:10" ht="12.75" customHeight="1" x14ac:dyDescent="0.2">
      <c r="A51" s="104" t="s">
        <v>56</v>
      </c>
      <c r="B51" s="105">
        <v>1.337</v>
      </c>
      <c r="C51" s="45">
        <v>0</v>
      </c>
      <c r="D51" s="70"/>
      <c r="E51" s="107">
        <f t="shared" ref="E51:E53" si="8">C51+D51</f>
        <v>0</v>
      </c>
      <c r="F51" s="73">
        <f t="shared" si="7"/>
        <v>12944.833999999999</v>
      </c>
      <c r="G51" s="74">
        <f>E51*F51</f>
        <v>0</v>
      </c>
    </row>
    <row r="52" spans="1:10" ht="12.75" customHeight="1" x14ac:dyDescent="0.2">
      <c r="A52" s="104" t="s">
        <v>57</v>
      </c>
      <c r="B52" s="105">
        <v>2.891</v>
      </c>
      <c r="C52" s="45">
        <v>0</v>
      </c>
      <c r="D52" s="70"/>
      <c r="E52" s="107">
        <f t="shared" si="8"/>
        <v>0</v>
      </c>
      <c r="F52" s="73">
        <f t="shared" si="7"/>
        <v>27990.662</v>
      </c>
      <c r="G52" s="74">
        <f>E52*F52</f>
        <v>0</v>
      </c>
      <c r="J52" s="108"/>
    </row>
    <row r="53" spans="1:10" ht="12.75" customHeight="1" x14ac:dyDescent="0.2">
      <c r="A53" s="104" t="s">
        <v>58</v>
      </c>
      <c r="B53" s="105">
        <v>2.8740000000000001</v>
      </c>
      <c r="C53" s="45">
        <v>0</v>
      </c>
      <c r="D53" s="70"/>
      <c r="E53" s="107">
        <f t="shared" si="8"/>
        <v>0</v>
      </c>
      <c r="F53" s="73">
        <f t="shared" si="7"/>
        <v>27826.067999999999</v>
      </c>
      <c r="G53" s="74">
        <f>E53*F53</f>
        <v>0</v>
      </c>
      <c r="J53" s="108"/>
    </row>
    <row r="54" spans="1:10" ht="13.5" customHeight="1" thickBot="1" x14ac:dyDescent="0.25">
      <c r="A54" s="187" t="s">
        <v>59</v>
      </c>
      <c r="B54" s="109"/>
      <c r="C54" s="77">
        <f>SUM(C50:C53)</f>
        <v>0</v>
      </c>
      <c r="D54" s="77"/>
      <c r="E54" s="110">
        <f>SUM(E50:E53)</f>
        <v>0</v>
      </c>
      <c r="F54" s="111"/>
      <c r="G54" s="112">
        <f>SUM(G50:G53)</f>
        <v>0</v>
      </c>
      <c r="J54" s="108"/>
    </row>
    <row r="55" spans="1:10" ht="13.5" customHeight="1" thickBot="1" x14ac:dyDescent="0.25">
      <c r="A55" s="64"/>
      <c r="B55" s="113"/>
      <c r="C55" s="114"/>
      <c r="D55" s="66"/>
      <c r="E55" s="67"/>
      <c r="F55" s="27"/>
      <c r="G55" s="28"/>
      <c r="J55" s="108"/>
    </row>
    <row r="56" spans="1:10" ht="25.5" x14ac:dyDescent="0.2">
      <c r="A56" s="115" t="s">
        <v>60</v>
      </c>
      <c r="B56" s="69" t="s">
        <v>16</v>
      </c>
      <c r="C56" s="69" t="s">
        <v>19</v>
      </c>
      <c r="D56" s="69"/>
      <c r="E56" s="69" t="s">
        <v>13</v>
      </c>
      <c r="F56" s="36" t="s">
        <v>20</v>
      </c>
      <c r="G56" s="37" t="s">
        <v>21</v>
      </c>
      <c r="J56" s="108"/>
    </row>
    <row r="57" spans="1:10" ht="13.5" customHeight="1" thickBot="1" x14ac:dyDescent="0.25">
      <c r="A57" s="96" t="s">
        <v>61</v>
      </c>
      <c r="B57" s="116">
        <v>0.66800000000000004</v>
      </c>
      <c r="C57" s="99">
        <v>0</v>
      </c>
      <c r="D57" s="117"/>
      <c r="E57" s="100">
        <f>C57+D57</f>
        <v>0</v>
      </c>
      <c r="F57" s="101">
        <f>ROUND($C$6*B57,0)</f>
        <v>6468</v>
      </c>
      <c r="G57" s="102">
        <f>E57*F57</f>
        <v>0</v>
      </c>
      <c r="J57" s="108"/>
    </row>
    <row r="58" spans="1:10" ht="13.5" customHeight="1" thickBot="1" x14ac:dyDescent="0.25">
      <c r="A58" s="27"/>
      <c r="B58" s="113"/>
      <c r="C58" s="118"/>
      <c r="D58" s="66"/>
      <c r="E58" s="119"/>
      <c r="F58" s="27"/>
      <c r="G58" s="28"/>
      <c r="J58" s="108"/>
    </row>
    <row r="59" spans="1:10" ht="12.75" customHeight="1" x14ac:dyDescent="0.2">
      <c r="A59" s="95" t="s">
        <v>62</v>
      </c>
      <c r="B59" s="69" t="s">
        <v>16</v>
      </c>
      <c r="C59" s="69" t="s">
        <v>19</v>
      </c>
      <c r="D59" s="69"/>
      <c r="E59" s="69" t="s">
        <v>13</v>
      </c>
      <c r="F59" s="36" t="s">
        <v>20</v>
      </c>
      <c r="G59" s="37" t="s">
        <v>21</v>
      </c>
      <c r="J59" s="108"/>
    </row>
    <row r="60" spans="1:10" ht="13.5" customHeight="1" thickBot="1" x14ac:dyDescent="0.25">
      <c r="A60" s="96" t="s">
        <v>62</v>
      </c>
      <c r="B60" s="97">
        <v>1.67</v>
      </c>
      <c r="C60" s="99">
        <v>0</v>
      </c>
      <c r="D60" s="117"/>
      <c r="E60" s="100">
        <f>C60+D60</f>
        <v>0</v>
      </c>
      <c r="F60" s="101">
        <f>$C$6*B60</f>
        <v>16168.939999999999</v>
      </c>
      <c r="G60" s="102">
        <f>E60*F60</f>
        <v>0</v>
      </c>
      <c r="J60" s="108"/>
    </row>
    <row r="61" spans="1:10" ht="13.5" thickBot="1" x14ac:dyDescent="0.25">
      <c r="A61" s="27"/>
      <c r="B61" s="113"/>
      <c r="C61" s="118"/>
      <c r="D61" s="66"/>
      <c r="E61" s="119"/>
      <c r="F61" s="27"/>
      <c r="G61" s="28"/>
      <c r="J61" s="108"/>
    </row>
    <row r="62" spans="1:10" ht="13.5" thickBot="1" x14ac:dyDescent="0.25">
      <c r="A62" s="120" t="s">
        <v>63</v>
      </c>
      <c r="B62" s="121">
        <v>0.219</v>
      </c>
      <c r="C62" s="98">
        <v>0</v>
      </c>
      <c r="D62" s="122"/>
      <c r="E62" s="123">
        <f>C62+D62</f>
        <v>0</v>
      </c>
      <c r="F62" s="124">
        <f>ROUND(B62*C6,0)</f>
        <v>2120</v>
      </c>
      <c r="G62" s="125">
        <f>C62*F62</f>
        <v>0</v>
      </c>
      <c r="J62" s="108"/>
    </row>
    <row r="63" spans="1:10" ht="13.5" thickBot="1" x14ac:dyDescent="0.25">
      <c r="A63" s="126"/>
      <c r="B63" s="127"/>
      <c r="C63" s="128"/>
      <c r="D63" s="128"/>
      <c r="E63" s="129"/>
      <c r="F63" s="130"/>
      <c r="G63" s="131"/>
      <c r="J63" s="108"/>
    </row>
    <row r="64" spans="1:10" x14ac:dyDescent="0.2">
      <c r="A64" s="103" t="s">
        <v>64</v>
      </c>
      <c r="B64" s="69" t="s">
        <v>16</v>
      </c>
      <c r="C64" s="69" t="s">
        <v>19</v>
      </c>
      <c r="D64" s="69"/>
      <c r="E64" s="69" t="s">
        <v>13</v>
      </c>
      <c r="F64" s="36" t="s">
        <v>20</v>
      </c>
      <c r="G64" s="37" t="s">
        <v>21</v>
      </c>
      <c r="J64" s="108"/>
    </row>
    <row r="65" spans="1:10" ht="12.75" customHeight="1" x14ac:dyDescent="0.2">
      <c r="A65" s="49" t="s">
        <v>65</v>
      </c>
      <c r="B65" s="132">
        <v>6.3E-2</v>
      </c>
      <c r="C65" s="70">
        <v>0</v>
      </c>
      <c r="D65" s="45"/>
      <c r="E65" s="107"/>
      <c r="F65" s="73">
        <f t="shared" ref="F65:F68" si="9">$C$6*B65</f>
        <v>609.96600000000001</v>
      </c>
      <c r="G65" s="53">
        <f>C65*F65</f>
        <v>0</v>
      </c>
      <c r="J65" s="108"/>
    </row>
    <row r="66" spans="1:10" ht="12.75" customHeight="1" x14ac:dyDescent="0.2">
      <c r="A66" s="49" t="s">
        <v>66</v>
      </c>
      <c r="B66" s="132">
        <v>0.22700000000000001</v>
      </c>
      <c r="C66" s="70">
        <v>0</v>
      </c>
      <c r="D66" s="45"/>
      <c r="E66" s="107"/>
      <c r="F66" s="73">
        <f t="shared" si="9"/>
        <v>2197.8139999999999</v>
      </c>
      <c r="G66" s="53">
        <f>C66*F66</f>
        <v>0</v>
      </c>
      <c r="J66" s="108"/>
    </row>
    <row r="67" spans="1:10" ht="12.75" customHeight="1" x14ac:dyDescent="0.2">
      <c r="A67" s="49" t="s">
        <v>67</v>
      </c>
      <c r="B67" s="132">
        <v>0.49099999999999999</v>
      </c>
      <c r="C67" s="70">
        <v>0</v>
      </c>
      <c r="D67" s="45"/>
      <c r="E67" s="107"/>
      <c r="F67" s="73">
        <f t="shared" si="9"/>
        <v>4753.8620000000001</v>
      </c>
      <c r="G67" s="53">
        <f>C67*F67</f>
        <v>0</v>
      </c>
      <c r="J67" s="108"/>
    </row>
    <row r="68" spans="1:10" ht="12.75" customHeight="1" x14ac:dyDescent="0.2">
      <c r="A68" s="49" t="s">
        <v>68</v>
      </c>
      <c r="B68" s="132">
        <v>0.48899999999999999</v>
      </c>
      <c r="C68" s="70">
        <v>0</v>
      </c>
      <c r="D68" s="45"/>
      <c r="E68" s="107"/>
      <c r="F68" s="133">
        <f t="shared" si="9"/>
        <v>4734.4979999999996</v>
      </c>
      <c r="G68" s="53">
        <f>C68*F68</f>
        <v>0</v>
      </c>
      <c r="J68" s="108"/>
    </row>
    <row r="69" spans="1:10" ht="14.25" customHeight="1" thickBot="1" x14ac:dyDescent="0.3">
      <c r="A69" s="134" t="s">
        <v>69</v>
      </c>
      <c r="B69" s="135"/>
      <c r="C69" s="77">
        <f>SUM(C65:C68)</f>
        <v>0</v>
      </c>
      <c r="D69" s="77"/>
      <c r="E69" s="78"/>
      <c r="F69" s="79"/>
      <c r="G69" s="136">
        <f>SUM(G65:G68)</f>
        <v>0</v>
      </c>
      <c r="J69" s="108"/>
    </row>
    <row r="70" spans="1:10" ht="13.5" thickBot="1" x14ac:dyDescent="0.25">
      <c r="A70" s="137"/>
      <c r="B70" s="138"/>
      <c r="C70" s="139"/>
      <c r="D70" s="140"/>
      <c r="E70" s="141"/>
      <c r="F70" s="142"/>
      <c r="G70" s="143"/>
      <c r="J70" s="108"/>
    </row>
    <row r="71" spans="1:10" ht="13.5" thickBot="1" x14ac:dyDescent="0.25">
      <c r="A71" s="144" t="s">
        <v>70</v>
      </c>
      <c r="B71" s="145"/>
      <c r="C71" s="145"/>
      <c r="D71" s="145"/>
      <c r="E71" s="145"/>
      <c r="F71" s="145"/>
      <c r="G71" s="146">
        <f>G32+G40+G44+G47+G54+G57+G60+G62+G69</f>
        <v>2798872.56</v>
      </c>
      <c r="J71" s="108"/>
    </row>
    <row r="72" spans="1:10" ht="13.5" thickBot="1" x14ac:dyDescent="0.25">
      <c r="A72" s="126"/>
      <c r="B72" s="147"/>
      <c r="C72" s="27"/>
      <c r="D72" s="27"/>
      <c r="E72" s="148"/>
      <c r="F72" s="27"/>
      <c r="G72" s="28"/>
      <c r="J72" s="108"/>
    </row>
    <row r="73" spans="1:10" x14ac:dyDescent="0.2">
      <c r="A73" s="149" t="s">
        <v>71</v>
      </c>
      <c r="B73" s="150"/>
      <c r="C73" s="151"/>
      <c r="D73" s="151"/>
      <c r="E73" s="152"/>
      <c r="F73" s="151"/>
      <c r="G73" s="153"/>
      <c r="J73" s="108"/>
    </row>
    <row r="74" spans="1:10" x14ac:dyDescent="0.2">
      <c r="A74" s="49" t="s">
        <v>72</v>
      </c>
      <c r="B74" s="52"/>
      <c r="C74" s="45">
        <f>C32-C75</f>
        <v>244</v>
      </c>
      <c r="D74" s="52"/>
      <c r="E74" s="154">
        <f>C74+D74</f>
        <v>244</v>
      </c>
      <c r="F74" s="155">
        <f>+C7</f>
        <v>3124</v>
      </c>
      <c r="G74" s="156">
        <f>C74*F74</f>
        <v>762256</v>
      </c>
      <c r="J74" s="108"/>
    </row>
    <row r="75" spans="1:10" x14ac:dyDescent="0.2">
      <c r="A75" s="49" t="s">
        <v>73</v>
      </c>
      <c r="B75" s="52"/>
      <c r="C75" s="45">
        <f>C60</f>
        <v>0</v>
      </c>
      <c r="D75" s="157"/>
      <c r="E75" s="154">
        <f>C75+D75</f>
        <v>0</v>
      </c>
      <c r="F75" s="155">
        <f>C8</f>
        <v>8395</v>
      </c>
      <c r="G75" s="156">
        <f>C8*E75</f>
        <v>0</v>
      </c>
      <c r="J75" s="108"/>
    </row>
    <row r="76" spans="1:10" ht="13.5" thickBot="1" x14ac:dyDescent="0.25">
      <c r="A76" s="192" t="s">
        <v>74</v>
      </c>
      <c r="B76" s="193"/>
      <c r="C76" s="193"/>
      <c r="D76" s="193"/>
      <c r="E76" s="193"/>
      <c r="F76" s="193"/>
      <c r="G76" s="188">
        <f>G74+G75</f>
        <v>762256</v>
      </c>
      <c r="J76" s="108"/>
    </row>
    <row r="77" spans="1:10" ht="13.5" thickBot="1" x14ac:dyDescent="0.25">
      <c r="A77" s="158"/>
      <c r="B77" s="184"/>
      <c r="C77" s="184"/>
      <c r="D77" s="184"/>
      <c r="E77" s="184"/>
      <c r="F77" s="184"/>
      <c r="G77" s="159"/>
      <c r="J77" s="108"/>
    </row>
    <row r="78" spans="1:10" ht="16.5" thickBot="1" x14ac:dyDescent="0.3">
      <c r="A78" s="160"/>
      <c r="B78" s="161"/>
      <c r="C78" s="161"/>
      <c r="D78" s="161"/>
      <c r="E78" s="162"/>
      <c r="F78" s="163" t="s">
        <v>75</v>
      </c>
      <c r="G78" s="164">
        <f>SUM(G71+G76)</f>
        <v>3561128.56</v>
      </c>
      <c r="J78" s="108"/>
    </row>
    <row r="79" spans="1:10" x14ac:dyDescent="0.2">
      <c r="J79" s="108"/>
    </row>
    <row r="80" spans="1:10" x14ac:dyDescent="0.2">
      <c r="F80" s="8" t="s">
        <v>76</v>
      </c>
      <c r="G80" s="165" t="e">
        <f>+#REF!</f>
        <v>#REF!</v>
      </c>
    </row>
    <row r="81" spans="6:7" x14ac:dyDescent="0.2">
      <c r="F81" s="8" t="s">
        <v>77</v>
      </c>
      <c r="G81" s="166" t="e">
        <f>+#REF!</f>
        <v>#REF!</v>
      </c>
    </row>
    <row r="82" spans="6:7" x14ac:dyDescent="0.2">
      <c r="F82" s="8" t="s">
        <v>78</v>
      </c>
      <c r="G82" s="165">
        <v>0</v>
      </c>
    </row>
    <row r="83" spans="6:7" x14ac:dyDescent="0.2">
      <c r="F83" s="8" t="s">
        <v>79</v>
      </c>
      <c r="G83" s="165">
        <v>0</v>
      </c>
    </row>
    <row r="84" spans="6:7" x14ac:dyDescent="0.2">
      <c r="F84" s="8" t="s">
        <v>80</v>
      </c>
      <c r="G84" s="167" t="e">
        <f>SUM(G80:G83)</f>
        <v>#REF!</v>
      </c>
    </row>
  </sheetData>
  <mergeCells count="9">
    <mergeCell ref="D7:G7"/>
    <mergeCell ref="A76:F76"/>
    <mergeCell ref="A1:G1"/>
    <mergeCell ref="A2:G2"/>
    <mergeCell ref="A3:G3"/>
    <mergeCell ref="A4:G4"/>
    <mergeCell ref="A5:G5"/>
    <mergeCell ref="A6:B6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C14" sqref="C14:C19"/>
    </sheetView>
  </sheetViews>
  <sheetFormatPr defaultColWidth="7.42578125" defaultRowHeight="12.75" x14ac:dyDescent="0.2"/>
  <cols>
    <col min="1" max="1" width="31.42578125" style="8" customWidth="1"/>
    <col min="2" max="2" width="13.42578125" style="8" customWidth="1"/>
    <col min="3" max="3" width="15.7109375" style="8" customWidth="1"/>
    <col min="4" max="4" width="18.42578125" style="8" hidden="1" customWidth="1"/>
    <col min="5" max="5" width="15.7109375" style="8" hidden="1" customWidth="1"/>
    <col min="6" max="6" width="23.7109375" style="8" customWidth="1"/>
    <col min="7" max="7" width="22.42578125" style="8" customWidth="1"/>
    <col min="8" max="16384" width="7.42578125" style="6"/>
  </cols>
  <sheetData>
    <row r="1" spans="1:7" ht="18.75" x14ac:dyDescent="0.3">
      <c r="A1" s="194" t="s">
        <v>0</v>
      </c>
      <c r="B1" s="195"/>
      <c r="C1" s="195"/>
      <c r="D1" s="195"/>
      <c r="E1" s="195"/>
      <c r="F1" s="196"/>
      <c r="G1" s="196"/>
    </row>
    <row r="2" spans="1:7" ht="18.75" x14ac:dyDescent="0.3">
      <c r="A2" s="194" t="s">
        <v>1</v>
      </c>
      <c r="B2" s="195"/>
      <c r="C2" s="195"/>
      <c r="D2" s="195"/>
      <c r="E2" s="195"/>
      <c r="F2" s="196"/>
      <c r="G2" s="196"/>
    </row>
    <row r="3" spans="1:7" ht="22.5" x14ac:dyDescent="0.3">
      <c r="A3" s="197" t="s">
        <v>2</v>
      </c>
      <c r="B3" s="198"/>
      <c r="C3" s="198"/>
      <c r="D3" s="198"/>
      <c r="E3" s="198"/>
      <c r="F3" s="198"/>
      <c r="G3" s="199"/>
    </row>
    <row r="4" spans="1:7" ht="22.5" x14ac:dyDescent="0.3">
      <c r="A4" s="197" t="s">
        <v>3</v>
      </c>
      <c r="B4" s="197"/>
      <c r="C4" s="197"/>
      <c r="D4" s="197"/>
      <c r="E4" s="197"/>
      <c r="F4" s="197"/>
      <c r="G4" s="197"/>
    </row>
    <row r="5" spans="1:7" ht="19.5" thickBot="1" x14ac:dyDescent="0.35">
      <c r="A5" s="200" t="s">
        <v>4</v>
      </c>
      <c r="B5" s="201"/>
      <c r="C5" s="201"/>
      <c r="D5" s="201"/>
      <c r="E5" s="201"/>
      <c r="F5" s="202"/>
      <c r="G5" s="202"/>
    </row>
    <row r="6" spans="1:7" ht="13.5" thickBot="1" x14ac:dyDescent="0.25">
      <c r="A6" s="203" t="s">
        <v>5</v>
      </c>
      <c r="B6" s="196"/>
      <c r="C6" s="22">
        <v>9682</v>
      </c>
      <c r="D6" s="23"/>
      <c r="E6" s="204"/>
      <c r="F6" s="205"/>
      <c r="G6" s="205"/>
    </row>
    <row r="7" spans="1:7" ht="15" x14ac:dyDescent="0.25">
      <c r="A7" s="24" t="s">
        <v>6</v>
      </c>
      <c r="B7" s="24"/>
      <c r="C7" s="25">
        <v>3124</v>
      </c>
      <c r="D7" s="190"/>
      <c r="E7" s="191"/>
      <c r="F7" s="191"/>
      <c r="G7" s="191"/>
    </row>
    <row r="8" spans="1:7" x14ac:dyDescent="0.2">
      <c r="A8" s="24" t="s">
        <v>7</v>
      </c>
      <c r="B8" s="24"/>
      <c r="C8" s="26">
        <v>8395</v>
      </c>
      <c r="D8" s="23"/>
      <c r="E8" s="183"/>
      <c r="F8" s="27"/>
      <c r="G8" s="28"/>
    </row>
    <row r="9" spans="1:7" x14ac:dyDescent="0.2">
      <c r="A9" s="24"/>
      <c r="B9" s="24"/>
      <c r="C9" s="29"/>
      <c r="D9" s="29"/>
      <c r="E9" s="30"/>
      <c r="F9" s="27"/>
      <c r="G9" s="28"/>
    </row>
    <row r="10" spans="1:7" x14ac:dyDescent="0.2">
      <c r="A10" s="24" t="s">
        <v>8</v>
      </c>
      <c r="B10" s="24"/>
      <c r="C10" s="30" t="s">
        <v>9</v>
      </c>
      <c r="D10" s="29"/>
      <c r="E10" s="30"/>
      <c r="F10" s="27"/>
      <c r="G10" s="28"/>
    </row>
    <row r="11" spans="1:7" ht="13.5" thickBot="1" x14ac:dyDescent="0.25">
      <c r="A11" s="24"/>
      <c r="B11" s="24"/>
      <c r="C11" s="29"/>
      <c r="D11" s="29"/>
      <c r="E11" s="30"/>
      <c r="F11" s="27"/>
      <c r="G11" s="28"/>
    </row>
    <row r="12" spans="1:7" ht="25.5" x14ac:dyDescent="0.2">
      <c r="A12" s="31" t="s">
        <v>10</v>
      </c>
      <c r="B12" s="32"/>
      <c r="C12" s="33" t="s">
        <v>11</v>
      </c>
      <c r="D12" s="34" t="s">
        <v>12</v>
      </c>
      <c r="E12" s="35" t="s">
        <v>13</v>
      </c>
      <c r="F12" s="36" t="s">
        <v>14</v>
      </c>
      <c r="G12" s="37" t="s">
        <v>13</v>
      </c>
    </row>
    <row r="13" spans="1:7" ht="13.5" thickBot="1" x14ac:dyDescent="0.25">
      <c r="A13" s="38" t="s">
        <v>15</v>
      </c>
      <c r="B13" s="39" t="s">
        <v>16</v>
      </c>
      <c r="C13" s="40" t="s">
        <v>17</v>
      </c>
      <c r="D13" s="39" t="s">
        <v>18</v>
      </c>
      <c r="E13" s="39" t="s">
        <v>19</v>
      </c>
      <c r="F13" s="41" t="s">
        <v>20</v>
      </c>
      <c r="G13" s="42" t="s">
        <v>21</v>
      </c>
    </row>
    <row r="14" spans="1:7" x14ac:dyDescent="0.2">
      <c r="A14" s="43" t="s">
        <v>22</v>
      </c>
      <c r="B14" s="44">
        <v>1.34</v>
      </c>
      <c r="C14" s="45">
        <v>48</v>
      </c>
      <c r="D14" s="46">
        <v>0</v>
      </c>
      <c r="E14" s="7">
        <f>C14+D14</f>
        <v>48</v>
      </c>
      <c r="F14" s="47">
        <f>$C$6*B14</f>
        <v>12973.880000000001</v>
      </c>
      <c r="G14" s="48">
        <f t="shared" ref="G14:G31" si="0">E14*F14</f>
        <v>622746.24</v>
      </c>
    </row>
    <row r="15" spans="1:7" x14ac:dyDescent="0.2">
      <c r="A15" s="49" t="s">
        <v>23</v>
      </c>
      <c r="B15" s="50">
        <v>1.3</v>
      </c>
      <c r="C15" s="45">
        <v>48</v>
      </c>
      <c r="D15" s="51">
        <v>0</v>
      </c>
      <c r="E15" s="52">
        <f t="shared" ref="E15:E31" si="1">C15+D15</f>
        <v>48</v>
      </c>
      <c r="F15" s="47">
        <f t="shared" ref="F15:F31" si="2">$C$6*B15</f>
        <v>12586.6</v>
      </c>
      <c r="G15" s="53">
        <f t="shared" si="0"/>
        <v>604156.80000000005</v>
      </c>
    </row>
    <row r="16" spans="1:7" x14ac:dyDescent="0.2">
      <c r="A16" s="49" t="s">
        <v>24</v>
      </c>
      <c r="B16" s="50">
        <v>1.3</v>
      </c>
      <c r="C16" s="45">
        <v>50</v>
      </c>
      <c r="D16" s="51">
        <v>0</v>
      </c>
      <c r="E16" s="45">
        <f>C16+D16</f>
        <v>50</v>
      </c>
      <c r="F16" s="47">
        <f t="shared" si="2"/>
        <v>12586.6</v>
      </c>
      <c r="G16" s="53">
        <f t="shared" si="0"/>
        <v>629330</v>
      </c>
    </row>
    <row r="17" spans="1:7" x14ac:dyDescent="0.2">
      <c r="A17" s="49" t="s">
        <v>25</v>
      </c>
      <c r="B17" s="50">
        <v>1</v>
      </c>
      <c r="C17" s="45">
        <v>50</v>
      </c>
      <c r="D17" s="51">
        <v>0</v>
      </c>
      <c r="E17" s="45">
        <f t="shared" si="1"/>
        <v>50</v>
      </c>
      <c r="F17" s="47">
        <f t="shared" si="2"/>
        <v>9682</v>
      </c>
      <c r="G17" s="53">
        <f t="shared" si="0"/>
        <v>484100</v>
      </c>
    </row>
    <row r="18" spans="1:7" x14ac:dyDescent="0.2">
      <c r="A18" s="49" t="s">
        <v>26</v>
      </c>
      <c r="B18" s="50">
        <v>1</v>
      </c>
      <c r="C18" s="45">
        <v>50</v>
      </c>
      <c r="D18" s="51">
        <v>0</v>
      </c>
      <c r="E18" s="52">
        <f t="shared" si="1"/>
        <v>50</v>
      </c>
      <c r="F18" s="47">
        <f t="shared" si="2"/>
        <v>9682</v>
      </c>
      <c r="G18" s="53">
        <f t="shared" si="0"/>
        <v>484100</v>
      </c>
    </row>
    <row r="19" spans="1:7" x14ac:dyDescent="0.2">
      <c r="A19" s="49" t="s">
        <v>27</v>
      </c>
      <c r="B19" s="50">
        <v>1</v>
      </c>
      <c r="C19" s="45">
        <v>50</v>
      </c>
      <c r="D19" s="51">
        <v>0</v>
      </c>
      <c r="E19" s="52">
        <f t="shared" si="1"/>
        <v>50</v>
      </c>
      <c r="F19" s="47">
        <f t="shared" si="2"/>
        <v>9682</v>
      </c>
      <c r="G19" s="53">
        <f t="shared" si="0"/>
        <v>484100</v>
      </c>
    </row>
    <row r="20" spans="1:7" x14ac:dyDescent="0.2">
      <c r="A20" s="49" t="s">
        <v>28</v>
      </c>
      <c r="B20" s="50">
        <v>1</v>
      </c>
      <c r="C20" s="45"/>
      <c r="D20" s="51">
        <v>0</v>
      </c>
      <c r="E20" s="52">
        <f t="shared" si="1"/>
        <v>0</v>
      </c>
      <c r="F20" s="47">
        <f t="shared" si="2"/>
        <v>9682</v>
      </c>
      <c r="G20" s="53">
        <f t="shared" si="0"/>
        <v>0</v>
      </c>
    </row>
    <row r="21" spans="1:7" x14ac:dyDescent="0.2">
      <c r="A21" s="49" t="s">
        <v>29</v>
      </c>
      <c r="B21" s="50">
        <v>1</v>
      </c>
      <c r="C21" s="45"/>
      <c r="D21" s="51">
        <v>0</v>
      </c>
      <c r="E21" s="45">
        <f t="shared" si="1"/>
        <v>0</v>
      </c>
      <c r="F21" s="47">
        <f t="shared" si="2"/>
        <v>9682</v>
      </c>
      <c r="G21" s="53">
        <f t="shared" si="0"/>
        <v>0</v>
      </c>
    </row>
    <row r="22" spans="1:7" x14ac:dyDescent="0.2">
      <c r="A22" s="54" t="s">
        <v>30</v>
      </c>
      <c r="B22" s="50">
        <v>1.08</v>
      </c>
      <c r="C22" s="45"/>
      <c r="D22" s="51">
        <v>0</v>
      </c>
      <c r="E22" s="52">
        <f t="shared" si="1"/>
        <v>0</v>
      </c>
      <c r="F22" s="47">
        <f t="shared" si="2"/>
        <v>10456.560000000001</v>
      </c>
      <c r="G22" s="53">
        <f t="shared" si="0"/>
        <v>0</v>
      </c>
    </row>
    <row r="23" spans="1:7" x14ac:dyDescent="0.2">
      <c r="A23" s="54" t="s">
        <v>31</v>
      </c>
      <c r="B23" s="50">
        <v>1.08</v>
      </c>
      <c r="C23" s="45">
        <f>+'[2]Data inputs'!W11</f>
        <v>0</v>
      </c>
      <c r="D23" s="51">
        <v>0</v>
      </c>
      <c r="E23" s="52">
        <f t="shared" si="1"/>
        <v>0</v>
      </c>
      <c r="F23" s="47">
        <f t="shared" si="2"/>
        <v>10456.560000000001</v>
      </c>
      <c r="G23" s="53">
        <f t="shared" si="0"/>
        <v>0</v>
      </c>
    </row>
    <row r="24" spans="1:7" x14ac:dyDescent="0.2">
      <c r="A24" s="54" t="s">
        <v>32</v>
      </c>
      <c r="B24" s="50">
        <v>1.08</v>
      </c>
      <c r="C24" s="45">
        <f>+'[2]Data inputs'!W12</f>
        <v>0</v>
      </c>
      <c r="D24" s="51">
        <v>0</v>
      </c>
      <c r="E24" s="52">
        <f t="shared" si="1"/>
        <v>0</v>
      </c>
      <c r="F24" s="47">
        <f t="shared" si="2"/>
        <v>10456.560000000001</v>
      </c>
      <c r="G24" s="53">
        <f t="shared" si="0"/>
        <v>0</v>
      </c>
    </row>
    <row r="25" spans="1:7" x14ac:dyDescent="0.2">
      <c r="A25" s="49" t="s">
        <v>33</v>
      </c>
      <c r="B25" s="50">
        <v>1.22</v>
      </c>
      <c r="C25" s="45">
        <f>+'[2]Data inputs'!W13</f>
        <v>0</v>
      </c>
      <c r="D25" s="51">
        <v>0</v>
      </c>
      <c r="E25" s="52">
        <f t="shared" si="1"/>
        <v>0</v>
      </c>
      <c r="F25" s="47">
        <f t="shared" si="2"/>
        <v>11812.039999999999</v>
      </c>
      <c r="G25" s="53">
        <f t="shared" si="0"/>
        <v>0</v>
      </c>
    </row>
    <row r="26" spans="1:7" x14ac:dyDescent="0.2">
      <c r="A26" s="49" t="s">
        <v>34</v>
      </c>
      <c r="B26" s="50">
        <v>1.22</v>
      </c>
      <c r="C26" s="45">
        <f>+'[2]Data inputs'!W14</f>
        <v>0</v>
      </c>
      <c r="D26" s="51">
        <v>0</v>
      </c>
      <c r="E26" s="52">
        <f t="shared" si="1"/>
        <v>0</v>
      </c>
      <c r="F26" s="47">
        <f t="shared" si="2"/>
        <v>11812.039999999999</v>
      </c>
      <c r="G26" s="53">
        <f t="shared" si="0"/>
        <v>0</v>
      </c>
    </row>
    <row r="27" spans="1:7" x14ac:dyDescent="0.2">
      <c r="A27" s="49" t="s">
        <v>35</v>
      </c>
      <c r="B27" s="50">
        <v>1.22</v>
      </c>
      <c r="C27" s="45">
        <f>+'[2]Data inputs'!W15</f>
        <v>0</v>
      </c>
      <c r="D27" s="51">
        <v>0</v>
      </c>
      <c r="E27" s="52">
        <f t="shared" si="1"/>
        <v>0</v>
      </c>
      <c r="F27" s="47">
        <f t="shared" si="2"/>
        <v>11812.039999999999</v>
      </c>
      <c r="G27" s="53">
        <f t="shared" si="0"/>
        <v>0</v>
      </c>
    </row>
    <row r="28" spans="1:7" x14ac:dyDescent="0.2">
      <c r="A28" s="49" t="s">
        <v>36</v>
      </c>
      <c r="B28" s="50">
        <v>1.22</v>
      </c>
      <c r="C28" s="45">
        <f>+'[2]Data inputs'!W16</f>
        <v>0</v>
      </c>
      <c r="D28" s="51">
        <v>0</v>
      </c>
      <c r="E28" s="52">
        <f t="shared" si="1"/>
        <v>0</v>
      </c>
      <c r="F28" s="47">
        <f t="shared" si="2"/>
        <v>11812.039999999999</v>
      </c>
      <c r="G28" s="53">
        <f t="shared" si="0"/>
        <v>0</v>
      </c>
    </row>
    <row r="29" spans="1:7" x14ac:dyDescent="0.2">
      <c r="A29" s="49" t="s">
        <v>37</v>
      </c>
      <c r="B29" s="50">
        <v>1.44</v>
      </c>
      <c r="C29" s="45">
        <f>+'[2]Data inputs'!W17</f>
        <v>0</v>
      </c>
      <c r="D29" s="51">
        <v>0</v>
      </c>
      <c r="E29" s="52">
        <f t="shared" si="1"/>
        <v>0</v>
      </c>
      <c r="F29" s="47">
        <f t="shared" si="2"/>
        <v>13942.08</v>
      </c>
      <c r="G29" s="53">
        <f t="shared" si="0"/>
        <v>0</v>
      </c>
    </row>
    <row r="30" spans="1:7" x14ac:dyDescent="0.2">
      <c r="A30" s="49" t="s">
        <v>38</v>
      </c>
      <c r="B30" s="50">
        <v>1.17</v>
      </c>
      <c r="C30" s="45">
        <f>+'[2]Data inputs'!W18</f>
        <v>0</v>
      </c>
      <c r="D30" s="51">
        <v>0</v>
      </c>
      <c r="E30" s="52">
        <f t="shared" si="1"/>
        <v>0</v>
      </c>
      <c r="F30" s="47">
        <f t="shared" si="2"/>
        <v>11327.939999999999</v>
      </c>
      <c r="G30" s="53">
        <f t="shared" si="0"/>
        <v>0</v>
      </c>
    </row>
    <row r="31" spans="1:7" ht="13.5" thickBot="1" x14ac:dyDescent="0.25">
      <c r="A31" s="55" t="s">
        <v>39</v>
      </c>
      <c r="B31" s="56">
        <v>0.89</v>
      </c>
      <c r="C31" s="45">
        <f>+'[2]Data inputs'!W19</f>
        <v>0</v>
      </c>
      <c r="D31" s="57">
        <v>0</v>
      </c>
      <c r="E31" s="58">
        <f t="shared" si="1"/>
        <v>0</v>
      </c>
      <c r="F31" s="47">
        <f t="shared" si="2"/>
        <v>8616.98</v>
      </c>
      <c r="G31" s="59">
        <f t="shared" si="0"/>
        <v>0</v>
      </c>
    </row>
    <row r="32" spans="1:7" ht="13.5" thickBot="1" x14ac:dyDescent="0.25">
      <c r="A32" s="60" t="s">
        <v>40</v>
      </c>
      <c r="B32" s="61"/>
      <c r="C32" s="62">
        <f>SUM(C14:C31)</f>
        <v>296</v>
      </c>
      <c r="D32" s="62">
        <f>SUM(D14:D31)</f>
        <v>0</v>
      </c>
      <c r="E32" s="62">
        <f>SUM(E14:E31)</f>
        <v>296</v>
      </c>
      <c r="F32" s="186"/>
      <c r="G32" s="63">
        <f>SUM(G14:G31)</f>
        <v>3308533.04</v>
      </c>
    </row>
    <row r="33" spans="1:7" ht="13.5" thickBot="1" x14ac:dyDescent="0.25">
      <c r="A33" s="64"/>
      <c r="B33" s="65"/>
      <c r="C33" s="66"/>
      <c r="D33" s="66"/>
      <c r="E33" s="67"/>
      <c r="F33" s="27"/>
      <c r="G33" s="28"/>
    </row>
    <row r="34" spans="1:7" x14ac:dyDescent="0.2">
      <c r="A34" s="68" t="s">
        <v>41</v>
      </c>
      <c r="B34" s="69" t="s">
        <v>16</v>
      </c>
      <c r="C34" s="69" t="s">
        <v>19</v>
      </c>
      <c r="D34" s="69" t="s">
        <v>42</v>
      </c>
      <c r="E34" s="69" t="s">
        <v>13</v>
      </c>
      <c r="F34" s="36" t="s">
        <v>20</v>
      </c>
      <c r="G34" s="37" t="s">
        <v>21</v>
      </c>
    </row>
    <row r="35" spans="1:7" x14ac:dyDescent="0.2">
      <c r="A35" s="49" t="s">
        <v>43</v>
      </c>
      <c r="B35" s="50">
        <v>0.97</v>
      </c>
      <c r="C35" s="45">
        <v>0</v>
      </c>
      <c r="D35" s="70">
        <v>0</v>
      </c>
      <c r="E35" s="52">
        <f t="shared" ref="E35:E39" si="3">C35+D35</f>
        <v>0</v>
      </c>
      <c r="F35" s="71">
        <f t="shared" ref="F35:F39" si="4">$C$6*B35</f>
        <v>9391.5399999999991</v>
      </c>
      <c r="G35" s="72">
        <f>E35*F35</f>
        <v>0</v>
      </c>
    </row>
    <row r="36" spans="1:7" x14ac:dyDescent="0.2">
      <c r="A36" s="49" t="s">
        <v>44</v>
      </c>
      <c r="B36" s="50">
        <v>1.2</v>
      </c>
      <c r="C36" s="45">
        <v>0</v>
      </c>
      <c r="D36" s="70">
        <v>0</v>
      </c>
      <c r="E36" s="52">
        <f t="shared" si="3"/>
        <v>0</v>
      </c>
      <c r="F36" s="73">
        <f t="shared" si="4"/>
        <v>11618.4</v>
      </c>
      <c r="G36" s="74">
        <f>E36*F36</f>
        <v>0</v>
      </c>
    </row>
    <row r="37" spans="1:7" x14ac:dyDescent="0.2">
      <c r="A37" s="49" t="s">
        <v>45</v>
      </c>
      <c r="B37" s="50">
        <v>1.97</v>
      </c>
      <c r="C37" s="45">
        <v>0</v>
      </c>
      <c r="D37" s="70">
        <v>0</v>
      </c>
      <c r="E37" s="52">
        <f t="shared" si="3"/>
        <v>0</v>
      </c>
      <c r="F37" s="73">
        <f t="shared" si="4"/>
        <v>19073.54</v>
      </c>
      <c r="G37" s="74">
        <f>E37*F37</f>
        <v>0</v>
      </c>
    </row>
    <row r="38" spans="1:7" x14ac:dyDescent="0.2">
      <c r="A38" s="49" t="s">
        <v>46</v>
      </c>
      <c r="B38" s="50">
        <v>3.49</v>
      </c>
      <c r="C38" s="45">
        <v>0</v>
      </c>
      <c r="D38" s="70">
        <v>0</v>
      </c>
      <c r="E38" s="52">
        <f t="shared" si="3"/>
        <v>0</v>
      </c>
      <c r="F38" s="73">
        <f t="shared" si="4"/>
        <v>33790.18</v>
      </c>
      <c r="G38" s="74">
        <f>E38*F38</f>
        <v>0</v>
      </c>
    </row>
    <row r="39" spans="1:7" x14ac:dyDescent="0.2">
      <c r="A39" s="49"/>
      <c r="B39" s="50"/>
      <c r="C39" s="45">
        <f>SUM(C35:C38)</f>
        <v>0</v>
      </c>
      <c r="D39" s="70">
        <f>SUM(D35:D38)</f>
        <v>0</v>
      </c>
      <c r="E39" s="52">
        <f t="shared" si="3"/>
        <v>0</v>
      </c>
      <c r="F39" s="73">
        <f t="shared" si="4"/>
        <v>0</v>
      </c>
      <c r="G39" s="74">
        <f>E39*F39</f>
        <v>0</v>
      </c>
    </row>
    <row r="40" spans="1:7" ht="13.5" thickBot="1" x14ac:dyDescent="0.25">
      <c r="A40" s="75" t="s">
        <v>47</v>
      </c>
      <c r="B40" s="76"/>
      <c r="C40" s="77">
        <f>C39</f>
        <v>0</v>
      </c>
      <c r="D40" s="77">
        <f>D39</f>
        <v>0</v>
      </c>
      <c r="E40" s="78">
        <f>SUM(E35:E38)</f>
        <v>0</v>
      </c>
      <c r="F40" s="79"/>
      <c r="G40" s="80">
        <f>SUM(G35:G39)</f>
        <v>0</v>
      </c>
    </row>
    <row r="41" spans="1:7" ht="13.5" thickBot="1" x14ac:dyDescent="0.25">
      <c r="A41" s="27"/>
      <c r="B41" s="81"/>
      <c r="C41" s="66"/>
      <c r="D41" s="66"/>
      <c r="E41" s="67"/>
      <c r="F41" s="27"/>
      <c r="G41" s="28"/>
    </row>
    <row r="42" spans="1:7" x14ac:dyDescent="0.2">
      <c r="A42" s="43" t="s">
        <v>48</v>
      </c>
      <c r="B42" s="82">
        <v>6.9000000000000006E-2</v>
      </c>
      <c r="C42" s="7">
        <f>C39</f>
        <v>0</v>
      </c>
      <c r="D42" s="7">
        <f>D40</f>
        <v>0</v>
      </c>
      <c r="E42" s="83">
        <f t="shared" ref="E42:E43" si="5">C42+D42</f>
        <v>0</v>
      </c>
      <c r="F42" s="84">
        <f t="shared" ref="F42:F43" si="6">$C$6*B42</f>
        <v>668.05800000000011</v>
      </c>
      <c r="G42" s="85">
        <f>E42*F42</f>
        <v>0</v>
      </c>
    </row>
    <row r="43" spans="1:7" ht="13.5" thickBot="1" x14ac:dyDescent="0.25">
      <c r="A43" s="86" t="s">
        <v>49</v>
      </c>
      <c r="B43" s="87">
        <v>8.8999999999999996E-2</v>
      </c>
      <c r="C43" s="88">
        <f>C39</f>
        <v>0</v>
      </c>
      <c r="D43" s="88">
        <f>D42</f>
        <v>0</v>
      </c>
      <c r="E43" s="58">
        <f t="shared" si="5"/>
        <v>0</v>
      </c>
      <c r="F43" s="89">
        <f t="shared" si="6"/>
        <v>861.69799999999998</v>
      </c>
      <c r="G43" s="90">
        <f>E43*F43</f>
        <v>0</v>
      </c>
    </row>
    <row r="44" spans="1:7" ht="13.5" thickBot="1" x14ac:dyDescent="0.25">
      <c r="A44" s="60" t="s">
        <v>50</v>
      </c>
      <c r="B44" s="61"/>
      <c r="C44" s="62">
        <f>C43</f>
        <v>0</v>
      </c>
      <c r="D44" s="62">
        <f>D43</f>
        <v>0</v>
      </c>
      <c r="E44" s="91"/>
      <c r="F44" s="92">
        <f>SUM(F42:F43)</f>
        <v>1529.7560000000001</v>
      </c>
      <c r="G44" s="93">
        <f>SUM(G42:G43)</f>
        <v>0</v>
      </c>
    </row>
    <row r="45" spans="1:7" ht="14.25" thickBot="1" x14ac:dyDescent="0.3">
      <c r="A45" s="94"/>
      <c r="B45" s="81"/>
      <c r="C45" s="66"/>
      <c r="D45" s="66"/>
      <c r="E45" s="67"/>
      <c r="F45" s="27"/>
      <c r="G45" s="28"/>
    </row>
    <row r="46" spans="1:7" x14ac:dyDescent="0.2">
      <c r="A46" s="95" t="s">
        <v>51</v>
      </c>
      <c r="B46" s="69" t="s">
        <v>16</v>
      </c>
      <c r="C46" s="69" t="s">
        <v>19</v>
      </c>
      <c r="D46" s="69" t="s">
        <v>52</v>
      </c>
      <c r="E46" s="69" t="s">
        <v>13</v>
      </c>
      <c r="F46" s="36" t="s">
        <v>20</v>
      </c>
      <c r="G46" s="37" t="s">
        <v>21</v>
      </c>
    </row>
    <row r="47" spans="1:7" ht="13.5" thickBot="1" x14ac:dyDescent="0.25">
      <c r="A47" s="96" t="s">
        <v>53</v>
      </c>
      <c r="B47" s="97">
        <v>0.49</v>
      </c>
      <c r="C47" s="98">
        <v>0</v>
      </c>
      <c r="D47" s="99">
        <v>0</v>
      </c>
      <c r="E47" s="100">
        <f>C47+D47</f>
        <v>0</v>
      </c>
      <c r="F47" s="101">
        <f>$C$6*B47</f>
        <v>4744.18</v>
      </c>
      <c r="G47" s="102">
        <f>E47*F47</f>
        <v>0</v>
      </c>
    </row>
    <row r="48" spans="1:7" ht="13.5" thickBot="1" x14ac:dyDescent="0.25">
      <c r="A48" s="27"/>
      <c r="B48" s="81"/>
      <c r="C48" s="66"/>
      <c r="D48" s="66"/>
      <c r="E48" s="67"/>
      <c r="F48" s="27"/>
      <c r="G48" s="28"/>
    </row>
    <row r="49" spans="1:10" ht="12.75" customHeight="1" x14ac:dyDescent="0.2">
      <c r="A49" s="103" t="s">
        <v>54</v>
      </c>
      <c r="B49" s="69" t="s">
        <v>16</v>
      </c>
      <c r="C49" s="69" t="s">
        <v>19</v>
      </c>
      <c r="D49" s="69" t="s">
        <v>42</v>
      </c>
      <c r="E49" s="69" t="s">
        <v>13</v>
      </c>
      <c r="F49" s="36" t="s">
        <v>20</v>
      </c>
      <c r="G49" s="37" t="s">
        <v>21</v>
      </c>
    </row>
    <row r="50" spans="1:10" ht="12.75" customHeight="1" x14ac:dyDescent="0.2">
      <c r="A50" s="104" t="s">
        <v>55</v>
      </c>
      <c r="B50" s="105">
        <v>0.36799999999999999</v>
      </c>
      <c r="C50" s="45">
        <v>0</v>
      </c>
      <c r="D50" s="70"/>
      <c r="E50" s="106">
        <f>C50+D50</f>
        <v>0</v>
      </c>
      <c r="F50" s="73">
        <f t="shared" ref="F50:F53" si="7">$C$6*B50</f>
        <v>3562.9760000000001</v>
      </c>
      <c r="G50" s="74">
        <f>E50*F50</f>
        <v>0</v>
      </c>
    </row>
    <row r="51" spans="1:10" ht="12.75" customHeight="1" x14ac:dyDescent="0.2">
      <c r="A51" s="104" t="s">
        <v>56</v>
      </c>
      <c r="B51" s="105">
        <v>1.337</v>
      </c>
      <c r="C51" s="45">
        <v>0</v>
      </c>
      <c r="D51" s="70"/>
      <c r="E51" s="107">
        <f t="shared" ref="E51:E53" si="8">C51+D51</f>
        <v>0</v>
      </c>
      <c r="F51" s="73">
        <f t="shared" si="7"/>
        <v>12944.833999999999</v>
      </c>
      <c r="G51" s="74">
        <f>E51*F51</f>
        <v>0</v>
      </c>
    </row>
    <row r="52" spans="1:10" ht="12.75" customHeight="1" x14ac:dyDescent="0.2">
      <c r="A52" s="104" t="s">
        <v>57</v>
      </c>
      <c r="B52" s="105">
        <v>2.891</v>
      </c>
      <c r="C52" s="45">
        <v>0</v>
      </c>
      <c r="D52" s="70"/>
      <c r="E52" s="107">
        <f t="shared" si="8"/>
        <v>0</v>
      </c>
      <c r="F52" s="73">
        <f t="shared" si="7"/>
        <v>27990.662</v>
      </c>
      <c r="G52" s="74">
        <f>E52*F52</f>
        <v>0</v>
      </c>
      <c r="J52" s="108"/>
    </row>
    <row r="53" spans="1:10" ht="12.75" customHeight="1" x14ac:dyDescent="0.2">
      <c r="A53" s="104" t="s">
        <v>58</v>
      </c>
      <c r="B53" s="105">
        <v>2.8740000000000001</v>
      </c>
      <c r="C53" s="45">
        <v>0</v>
      </c>
      <c r="D53" s="70"/>
      <c r="E53" s="107">
        <f t="shared" si="8"/>
        <v>0</v>
      </c>
      <c r="F53" s="73">
        <f t="shared" si="7"/>
        <v>27826.067999999999</v>
      </c>
      <c r="G53" s="74">
        <f>E53*F53</f>
        <v>0</v>
      </c>
      <c r="J53" s="108"/>
    </row>
    <row r="54" spans="1:10" ht="13.5" customHeight="1" thickBot="1" x14ac:dyDescent="0.25">
      <c r="A54" s="187" t="s">
        <v>59</v>
      </c>
      <c r="B54" s="109"/>
      <c r="C54" s="77">
        <f>SUM(C50:C53)</f>
        <v>0</v>
      </c>
      <c r="D54" s="77"/>
      <c r="E54" s="110">
        <f>SUM(E50:E53)</f>
        <v>0</v>
      </c>
      <c r="F54" s="111"/>
      <c r="G54" s="112">
        <f>SUM(G50:G53)</f>
        <v>0</v>
      </c>
      <c r="J54" s="108"/>
    </row>
    <row r="55" spans="1:10" ht="13.5" customHeight="1" thickBot="1" x14ac:dyDescent="0.25">
      <c r="A55" s="64"/>
      <c r="B55" s="113"/>
      <c r="C55" s="114"/>
      <c r="D55" s="66"/>
      <c r="E55" s="67"/>
      <c r="F55" s="27"/>
      <c r="G55" s="28"/>
      <c r="J55" s="108"/>
    </row>
    <row r="56" spans="1:10" ht="25.5" x14ac:dyDescent="0.2">
      <c r="A56" s="115" t="s">
        <v>60</v>
      </c>
      <c r="B56" s="69" t="s">
        <v>16</v>
      </c>
      <c r="C56" s="69" t="s">
        <v>19</v>
      </c>
      <c r="D56" s="69"/>
      <c r="E56" s="69" t="s">
        <v>13</v>
      </c>
      <c r="F56" s="36" t="s">
        <v>20</v>
      </c>
      <c r="G56" s="37" t="s">
        <v>21</v>
      </c>
      <c r="J56" s="108"/>
    </row>
    <row r="57" spans="1:10" ht="13.5" customHeight="1" thickBot="1" x14ac:dyDescent="0.25">
      <c r="A57" s="96" t="s">
        <v>61</v>
      </c>
      <c r="B57" s="116">
        <v>0.66800000000000004</v>
      </c>
      <c r="C57" s="99">
        <v>0</v>
      </c>
      <c r="D57" s="117"/>
      <c r="E57" s="100">
        <f>C57+D57</f>
        <v>0</v>
      </c>
      <c r="F57" s="101">
        <f>ROUND($C$6*B57,0)</f>
        <v>6468</v>
      </c>
      <c r="G57" s="102">
        <f>E57*F57</f>
        <v>0</v>
      </c>
      <c r="J57" s="108"/>
    </row>
    <row r="58" spans="1:10" ht="13.5" customHeight="1" thickBot="1" x14ac:dyDescent="0.25">
      <c r="A58" s="27"/>
      <c r="B58" s="113"/>
      <c r="C58" s="118"/>
      <c r="D58" s="66"/>
      <c r="E58" s="119"/>
      <c r="F58" s="27"/>
      <c r="G58" s="28"/>
      <c r="J58" s="108"/>
    </row>
    <row r="59" spans="1:10" ht="12.75" customHeight="1" x14ac:dyDescent="0.2">
      <c r="A59" s="95" t="s">
        <v>62</v>
      </c>
      <c r="B59" s="69" t="s">
        <v>16</v>
      </c>
      <c r="C59" s="69" t="s">
        <v>19</v>
      </c>
      <c r="D59" s="69"/>
      <c r="E59" s="69" t="s">
        <v>13</v>
      </c>
      <c r="F59" s="36" t="s">
        <v>20</v>
      </c>
      <c r="G59" s="37" t="s">
        <v>21</v>
      </c>
      <c r="J59" s="108"/>
    </row>
    <row r="60" spans="1:10" ht="13.5" customHeight="1" thickBot="1" x14ac:dyDescent="0.25">
      <c r="A60" s="96" t="s">
        <v>62</v>
      </c>
      <c r="B60" s="97">
        <v>1.67</v>
      </c>
      <c r="C60" s="99">
        <v>0</v>
      </c>
      <c r="D60" s="117"/>
      <c r="E60" s="100">
        <f>C60+D60</f>
        <v>0</v>
      </c>
      <c r="F60" s="101">
        <f>$C$6*B60</f>
        <v>16168.939999999999</v>
      </c>
      <c r="G60" s="102">
        <f>E60*F60</f>
        <v>0</v>
      </c>
      <c r="J60" s="108"/>
    </row>
    <row r="61" spans="1:10" ht="13.5" thickBot="1" x14ac:dyDescent="0.25">
      <c r="A61" s="27"/>
      <c r="B61" s="113"/>
      <c r="C61" s="118"/>
      <c r="D61" s="66"/>
      <c r="E61" s="119"/>
      <c r="F61" s="27"/>
      <c r="G61" s="28"/>
      <c r="J61" s="108"/>
    </row>
    <row r="62" spans="1:10" ht="13.5" thickBot="1" x14ac:dyDescent="0.25">
      <c r="A62" s="120" t="s">
        <v>63</v>
      </c>
      <c r="B62" s="121">
        <v>0.219</v>
      </c>
      <c r="C62" s="98">
        <v>0</v>
      </c>
      <c r="D62" s="122"/>
      <c r="E62" s="123">
        <f>C62+D62</f>
        <v>0</v>
      </c>
      <c r="F62" s="124">
        <f>ROUND(B62*C6,0)</f>
        <v>2120</v>
      </c>
      <c r="G62" s="125">
        <f>C62*F62</f>
        <v>0</v>
      </c>
      <c r="J62" s="108"/>
    </row>
    <row r="63" spans="1:10" ht="13.5" thickBot="1" x14ac:dyDescent="0.25">
      <c r="A63" s="126"/>
      <c r="B63" s="127"/>
      <c r="C63" s="128"/>
      <c r="D63" s="128"/>
      <c r="E63" s="129"/>
      <c r="F63" s="130"/>
      <c r="G63" s="131"/>
      <c r="J63" s="108"/>
    </row>
    <row r="64" spans="1:10" x14ac:dyDescent="0.2">
      <c r="A64" s="103" t="s">
        <v>64</v>
      </c>
      <c r="B64" s="69" t="s">
        <v>16</v>
      </c>
      <c r="C64" s="69" t="s">
        <v>19</v>
      </c>
      <c r="D64" s="69"/>
      <c r="E64" s="69" t="s">
        <v>13</v>
      </c>
      <c r="F64" s="36" t="s">
        <v>20</v>
      </c>
      <c r="G64" s="37" t="s">
        <v>21</v>
      </c>
      <c r="J64" s="108"/>
    </row>
    <row r="65" spans="1:10" ht="12.75" customHeight="1" x14ac:dyDescent="0.2">
      <c r="A65" s="49" t="s">
        <v>65</v>
      </c>
      <c r="B65" s="132">
        <v>6.3E-2</v>
      </c>
      <c r="C65" s="70">
        <v>0</v>
      </c>
      <c r="D65" s="45"/>
      <c r="E65" s="107"/>
      <c r="F65" s="73">
        <f t="shared" ref="F65:F68" si="9">$C$6*B65</f>
        <v>609.96600000000001</v>
      </c>
      <c r="G65" s="53">
        <f>C65*F65</f>
        <v>0</v>
      </c>
      <c r="J65" s="108"/>
    </row>
    <row r="66" spans="1:10" ht="12.75" customHeight="1" x14ac:dyDescent="0.2">
      <c r="A66" s="49" t="s">
        <v>66</v>
      </c>
      <c r="B66" s="132">
        <v>0.22700000000000001</v>
      </c>
      <c r="C66" s="70">
        <v>0</v>
      </c>
      <c r="D66" s="45"/>
      <c r="E66" s="107"/>
      <c r="F66" s="73">
        <f t="shared" si="9"/>
        <v>2197.8139999999999</v>
      </c>
      <c r="G66" s="53">
        <f>C66*F66</f>
        <v>0</v>
      </c>
      <c r="J66" s="108"/>
    </row>
    <row r="67" spans="1:10" ht="12.75" customHeight="1" x14ac:dyDescent="0.2">
      <c r="A67" s="49" t="s">
        <v>67</v>
      </c>
      <c r="B67" s="132">
        <v>0.49099999999999999</v>
      </c>
      <c r="C67" s="70">
        <v>0</v>
      </c>
      <c r="D67" s="45"/>
      <c r="E67" s="107"/>
      <c r="F67" s="73">
        <f t="shared" si="9"/>
        <v>4753.8620000000001</v>
      </c>
      <c r="G67" s="53">
        <f>C67*F67</f>
        <v>0</v>
      </c>
      <c r="J67" s="108"/>
    </row>
    <row r="68" spans="1:10" ht="12.75" customHeight="1" x14ac:dyDescent="0.2">
      <c r="A68" s="49" t="s">
        <v>68</v>
      </c>
      <c r="B68" s="132">
        <v>0.48899999999999999</v>
      </c>
      <c r="C68" s="70">
        <v>0</v>
      </c>
      <c r="D68" s="45"/>
      <c r="E68" s="107"/>
      <c r="F68" s="133">
        <f t="shared" si="9"/>
        <v>4734.4979999999996</v>
      </c>
      <c r="G68" s="53">
        <f>C68*F68</f>
        <v>0</v>
      </c>
      <c r="J68" s="108"/>
    </row>
    <row r="69" spans="1:10" ht="14.25" customHeight="1" thickBot="1" x14ac:dyDescent="0.3">
      <c r="A69" s="134" t="s">
        <v>69</v>
      </c>
      <c r="B69" s="135"/>
      <c r="C69" s="77">
        <f>SUM(C65:C68)</f>
        <v>0</v>
      </c>
      <c r="D69" s="77"/>
      <c r="E69" s="78"/>
      <c r="F69" s="79"/>
      <c r="G69" s="136">
        <f>SUM(G65:G68)</f>
        <v>0</v>
      </c>
      <c r="J69" s="108"/>
    </row>
    <row r="70" spans="1:10" ht="13.5" thickBot="1" x14ac:dyDescent="0.25">
      <c r="A70" s="137"/>
      <c r="B70" s="138"/>
      <c r="C70" s="139"/>
      <c r="D70" s="140"/>
      <c r="E70" s="141"/>
      <c r="F70" s="142"/>
      <c r="G70" s="143"/>
      <c r="J70" s="108"/>
    </row>
    <row r="71" spans="1:10" ht="13.5" thickBot="1" x14ac:dyDescent="0.25">
      <c r="A71" s="144" t="s">
        <v>70</v>
      </c>
      <c r="B71" s="145"/>
      <c r="C71" s="145"/>
      <c r="D71" s="145"/>
      <c r="E71" s="145"/>
      <c r="F71" s="145"/>
      <c r="G71" s="146">
        <f>G32+G40+G44+G47+G54+G57+G60+G62+G69</f>
        <v>3308533.04</v>
      </c>
      <c r="J71" s="108"/>
    </row>
    <row r="72" spans="1:10" ht="13.5" thickBot="1" x14ac:dyDescent="0.25">
      <c r="A72" s="126"/>
      <c r="B72" s="147"/>
      <c r="C72" s="27"/>
      <c r="D72" s="27"/>
      <c r="E72" s="148"/>
      <c r="F72" s="27"/>
      <c r="G72" s="28"/>
      <c r="J72" s="108"/>
    </row>
    <row r="73" spans="1:10" x14ac:dyDescent="0.2">
      <c r="A73" s="149" t="s">
        <v>71</v>
      </c>
      <c r="B73" s="150"/>
      <c r="C73" s="151"/>
      <c r="D73" s="151"/>
      <c r="E73" s="152"/>
      <c r="F73" s="151"/>
      <c r="G73" s="153"/>
      <c r="J73" s="108"/>
    </row>
    <row r="74" spans="1:10" x14ac:dyDescent="0.2">
      <c r="A74" s="49" t="s">
        <v>72</v>
      </c>
      <c r="B74" s="52"/>
      <c r="C74" s="45">
        <f>C32-C75</f>
        <v>296</v>
      </c>
      <c r="D74" s="52"/>
      <c r="E74" s="154">
        <f>C74+D74</f>
        <v>296</v>
      </c>
      <c r="F74" s="155">
        <f>+C7</f>
        <v>3124</v>
      </c>
      <c r="G74" s="156">
        <f>C74*F74</f>
        <v>924704</v>
      </c>
      <c r="J74" s="108"/>
    </row>
    <row r="75" spans="1:10" x14ac:dyDescent="0.2">
      <c r="A75" s="49" t="s">
        <v>73</v>
      </c>
      <c r="B75" s="52"/>
      <c r="C75" s="45">
        <f>C60</f>
        <v>0</v>
      </c>
      <c r="D75" s="157"/>
      <c r="E75" s="154">
        <f>C75+D75</f>
        <v>0</v>
      </c>
      <c r="F75" s="155">
        <f>C8</f>
        <v>8395</v>
      </c>
      <c r="G75" s="156">
        <f>C8*E75</f>
        <v>0</v>
      </c>
      <c r="J75" s="108"/>
    </row>
    <row r="76" spans="1:10" ht="13.5" thickBot="1" x14ac:dyDescent="0.25">
      <c r="A76" s="192" t="s">
        <v>74</v>
      </c>
      <c r="B76" s="193"/>
      <c r="C76" s="193"/>
      <c r="D76" s="193"/>
      <c r="E76" s="193"/>
      <c r="F76" s="193"/>
      <c r="G76" s="188">
        <f>G74+G75</f>
        <v>924704</v>
      </c>
      <c r="J76" s="108"/>
    </row>
    <row r="77" spans="1:10" ht="13.5" thickBot="1" x14ac:dyDescent="0.25">
      <c r="A77" s="158"/>
      <c r="B77" s="184"/>
      <c r="C77" s="184"/>
      <c r="D77" s="184"/>
      <c r="E77" s="184"/>
      <c r="F77" s="184"/>
      <c r="G77" s="159"/>
      <c r="J77" s="108"/>
    </row>
    <row r="78" spans="1:10" ht="16.5" thickBot="1" x14ac:dyDescent="0.3">
      <c r="A78" s="160"/>
      <c r="B78" s="161"/>
      <c r="C78" s="161"/>
      <c r="D78" s="161"/>
      <c r="E78" s="162"/>
      <c r="F78" s="163" t="s">
        <v>75</v>
      </c>
      <c r="G78" s="164">
        <f>SUM(G71+G76)</f>
        <v>4233237.04</v>
      </c>
      <c r="J78" s="108"/>
    </row>
    <row r="79" spans="1:10" x14ac:dyDescent="0.2">
      <c r="J79" s="108"/>
    </row>
    <row r="80" spans="1:10" x14ac:dyDescent="0.2">
      <c r="F80" s="8" t="s">
        <v>76</v>
      </c>
      <c r="G80" s="165" t="e">
        <f>+#REF!</f>
        <v>#REF!</v>
      </c>
    </row>
    <row r="81" spans="6:7" x14ac:dyDescent="0.2">
      <c r="F81" s="8" t="s">
        <v>77</v>
      </c>
      <c r="G81" s="166" t="e">
        <f>+#REF!</f>
        <v>#REF!</v>
      </c>
    </row>
    <row r="82" spans="6:7" x14ac:dyDescent="0.2">
      <c r="F82" s="8" t="s">
        <v>78</v>
      </c>
      <c r="G82" s="165">
        <v>0</v>
      </c>
    </row>
    <row r="83" spans="6:7" x14ac:dyDescent="0.2">
      <c r="F83" s="8" t="s">
        <v>79</v>
      </c>
      <c r="G83" s="165">
        <v>0</v>
      </c>
    </row>
    <row r="84" spans="6:7" x14ac:dyDescent="0.2">
      <c r="F84" s="8" t="s">
        <v>80</v>
      </c>
      <c r="G84" s="167" t="e">
        <f>SUM(G80:G83)</f>
        <v>#REF!</v>
      </c>
    </row>
  </sheetData>
  <mergeCells count="9">
    <mergeCell ref="D7:G7"/>
    <mergeCell ref="A76:F76"/>
    <mergeCell ref="A1:G1"/>
    <mergeCell ref="A2:G2"/>
    <mergeCell ref="A3:G3"/>
    <mergeCell ref="A4:G4"/>
    <mergeCell ref="A5:G5"/>
    <mergeCell ref="A6:B6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C14" sqref="C14:C20"/>
    </sheetView>
  </sheetViews>
  <sheetFormatPr defaultColWidth="7.42578125" defaultRowHeight="12.75" x14ac:dyDescent="0.2"/>
  <cols>
    <col min="1" max="1" width="31.42578125" style="8" customWidth="1"/>
    <col min="2" max="2" width="13.42578125" style="8" customWidth="1"/>
    <col min="3" max="3" width="15.7109375" style="8" customWidth="1"/>
    <col min="4" max="4" width="18.42578125" style="8" hidden="1" customWidth="1"/>
    <col min="5" max="5" width="15.7109375" style="8" hidden="1" customWidth="1"/>
    <col min="6" max="6" width="23.7109375" style="8" customWidth="1"/>
    <col min="7" max="7" width="22.42578125" style="8" customWidth="1"/>
    <col min="8" max="16384" width="7.42578125" style="6"/>
  </cols>
  <sheetData>
    <row r="1" spans="1:7" ht="18.75" x14ac:dyDescent="0.3">
      <c r="A1" s="194" t="s">
        <v>0</v>
      </c>
      <c r="B1" s="195"/>
      <c r="C1" s="195"/>
      <c r="D1" s="195"/>
      <c r="E1" s="195"/>
      <c r="F1" s="196"/>
      <c r="G1" s="196"/>
    </row>
    <row r="2" spans="1:7" ht="18.75" x14ac:dyDescent="0.3">
      <c r="A2" s="194" t="s">
        <v>1</v>
      </c>
      <c r="B2" s="195"/>
      <c r="C2" s="195"/>
      <c r="D2" s="195"/>
      <c r="E2" s="195"/>
      <c r="F2" s="196"/>
      <c r="G2" s="196"/>
    </row>
    <row r="3" spans="1:7" ht="22.5" x14ac:dyDescent="0.3">
      <c r="A3" s="197" t="s">
        <v>2</v>
      </c>
      <c r="B3" s="198"/>
      <c r="C3" s="198"/>
      <c r="D3" s="198"/>
      <c r="E3" s="198"/>
      <c r="F3" s="198"/>
      <c r="G3" s="199"/>
    </row>
    <row r="4" spans="1:7" ht="22.5" x14ac:dyDescent="0.3">
      <c r="A4" s="197" t="s">
        <v>3</v>
      </c>
      <c r="B4" s="197"/>
      <c r="C4" s="197"/>
      <c r="D4" s="197"/>
      <c r="E4" s="197"/>
      <c r="F4" s="197"/>
      <c r="G4" s="197"/>
    </row>
    <row r="5" spans="1:7" ht="19.5" thickBot="1" x14ac:dyDescent="0.35">
      <c r="A5" s="200" t="s">
        <v>4</v>
      </c>
      <c r="B5" s="201"/>
      <c r="C5" s="201"/>
      <c r="D5" s="201"/>
      <c r="E5" s="201"/>
      <c r="F5" s="202"/>
      <c r="G5" s="202"/>
    </row>
    <row r="6" spans="1:7" ht="13.5" thickBot="1" x14ac:dyDescent="0.25">
      <c r="A6" s="203" t="s">
        <v>5</v>
      </c>
      <c r="B6" s="196"/>
      <c r="C6" s="22">
        <v>9682</v>
      </c>
      <c r="D6" s="23"/>
      <c r="E6" s="204"/>
      <c r="F6" s="205"/>
      <c r="G6" s="205"/>
    </row>
    <row r="7" spans="1:7" ht="15" x14ac:dyDescent="0.25">
      <c r="A7" s="24" t="s">
        <v>6</v>
      </c>
      <c r="B7" s="24"/>
      <c r="C7" s="25">
        <v>3124</v>
      </c>
      <c r="D7" s="190"/>
      <c r="E7" s="191"/>
      <c r="F7" s="191"/>
      <c r="G7" s="191"/>
    </row>
    <row r="8" spans="1:7" x14ac:dyDescent="0.2">
      <c r="A8" s="24" t="s">
        <v>7</v>
      </c>
      <c r="B8" s="24"/>
      <c r="C8" s="26">
        <v>8395</v>
      </c>
      <c r="D8" s="23"/>
      <c r="E8" s="183"/>
      <c r="F8" s="27"/>
      <c r="G8" s="28"/>
    </row>
    <row r="9" spans="1:7" x14ac:dyDescent="0.2">
      <c r="A9" s="24"/>
      <c r="B9" s="24"/>
      <c r="C9" s="29"/>
      <c r="D9" s="29"/>
      <c r="E9" s="30"/>
      <c r="F9" s="27"/>
      <c r="G9" s="28"/>
    </row>
    <row r="10" spans="1:7" x14ac:dyDescent="0.2">
      <c r="A10" s="24" t="s">
        <v>8</v>
      </c>
      <c r="B10" s="24"/>
      <c r="C10" s="30" t="s">
        <v>9</v>
      </c>
      <c r="D10" s="29"/>
      <c r="E10" s="30"/>
      <c r="F10" s="27"/>
      <c r="G10" s="28"/>
    </row>
    <row r="11" spans="1:7" ht="13.5" thickBot="1" x14ac:dyDescent="0.25">
      <c r="A11" s="24"/>
      <c r="B11" s="24"/>
      <c r="C11" s="29"/>
      <c r="D11" s="29"/>
      <c r="E11" s="30"/>
      <c r="F11" s="27"/>
      <c r="G11" s="28"/>
    </row>
    <row r="12" spans="1:7" ht="25.5" x14ac:dyDescent="0.2">
      <c r="A12" s="31" t="s">
        <v>10</v>
      </c>
      <c r="B12" s="32"/>
      <c r="C12" s="33" t="s">
        <v>11</v>
      </c>
      <c r="D12" s="34" t="s">
        <v>12</v>
      </c>
      <c r="E12" s="35" t="s">
        <v>13</v>
      </c>
      <c r="F12" s="36" t="s">
        <v>14</v>
      </c>
      <c r="G12" s="37" t="s">
        <v>13</v>
      </c>
    </row>
    <row r="13" spans="1:7" ht="13.5" thickBot="1" x14ac:dyDescent="0.25">
      <c r="A13" s="38" t="s">
        <v>15</v>
      </c>
      <c r="B13" s="39" t="s">
        <v>16</v>
      </c>
      <c r="C13" s="40" t="s">
        <v>17</v>
      </c>
      <c r="D13" s="39" t="s">
        <v>18</v>
      </c>
      <c r="E13" s="39" t="s">
        <v>19</v>
      </c>
      <c r="F13" s="41" t="s">
        <v>20</v>
      </c>
      <c r="G13" s="42" t="s">
        <v>21</v>
      </c>
    </row>
    <row r="14" spans="1:7" x14ac:dyDescent="0.2">
      <c r="A14" s="43" t="s">
        <v>22</v>
      </c>
      <c r="B14" s="44">
        <v>1.34</v>
      </c>
      <c r="C14" s="45">
        <v>49</v>
      </c>
      <c r="D14" s="46">
        <v>0</v>
      </c>
      <c r="E14" s="7">
        <f>C14+D14</f>
        <v>49</v>
      </c>
      <c r="F14" s="47">
        <f>$C$6*B14</f>
        <v>12973.880000000001</v>
      </c>
      <c r="G14" s="48">
        <f t="shared" ref="G14:G31" si="0">E14*F14</f>
        <v>635720.12</v>
      </c>
    </row>
    <row r="15" spans="1:7" x14ac:dyDescent="0.2">
      <c r="A15" s="49" t="s">
        <v>23</v>
      </c>
      <c r="B15" s="50">
        <v>1.3</v>
      </c>
      <c r="C15" s="45">
        <v>49</v>
      </c>
      <c r="D15" s="51">
        <v>0</v>
      </c>
      <c r="E15" s="52">
        <f t="shared" ref="E15:E31" si="1">C15+D15</f>
        <v>49</v>
      </c>
      <c r="F15" s="47">
        <f t="shared" ref="F15:F31" si="2">$C$6*B15</f>
        <v>12586.6</v>
      </c>
      <c r="G15" s="53">
        <f t="shared" si="0"/>
        <v>616743.4</v>
      </c>
    </row>
    <row r="16" spans="1:7" x14ac:dyDescent="0.2">
      <c r="A16" s="49" t="s">
        <v>24</v>
      </c>
      <c r="B16" s="50">
        <v>1.3</v>
      </c>
      <c r="C16" s="45">
        <v>50</v>
      </c>
      <c r="D16" s="51">
        <v>0</v>
      </c>
      <c r="E16" s="45">
        <f>C16+D16</f>
        <v>50</v>
      </c>
      <c r="F16" s="47">
        <f t="shared" si="2"/>
        <v>12586.6</v>
      </c>
      <c r="G16" s="53">
        <f t="shared" si="0"/>
        <v>629330</v>
      </c>
    </row>
    <row r="17" spans="1:7" x14ac:dyDescent="0.2">
      <c r="A17" s="49" t="s">
        <v>25</v>
      </c>
      <c r="B17" s="50">
        <v>1</v>
      </c>
      <c r="C17" s="45">
        <v>50</v>
      </c>
      <c r="D17" s="51">
        <v>0</v>
      </c>
      <c r="E17" s="45">
        <f t="shared" si="1"/>
        <v>50</v>
      </c>
      <c r="F17" s="47">
        <f t="shared" si="2"/>
        <v>9682</v>
      </c>
      <c r="G17" s="53">
        <f t="shared" si="0"/>
        <v>484100</v>
      </c>
    </row>
    <row r="18" spans="1:7" x14ac:dyDescent="0.2">
      <c r="A18" s="49" t="s">
        <v>26</v>
      </c>
      <c r="B18" s="50">
        <v>1</v>
      </c>
      <c r="C18" s="45">
        <v>50</v>
      </c>
      <c r="D18" s="51">
        <v>0</v>
      </c>
      <c r="E18" s="52">
        <f t="shared" si="1"/>
        <v>50</v>
      </c>
      <c r="F18" s="47">
        <f t="shared" si="2"/>
        <v>9682</v>
      </c>
      <c r="G18" s="53">
        <f t="shared" si="0"/>
        <v>484100</v>
      </c>
    </row>
    <row r="19" spans="1:7" x14ac:dyDescent="0.2">
      <c r="A19" s="49" t="s">
        <v>27</v>
      </c>
      <c r="B19" s="50">
        <v>1</v>
      </c>
      <c r="C19" s="45">
        <v>50</v>
      </c>
      <c r="D19" s="51">
        <v>0</v>
      </c>
      <c r="E19" s="52">
        <f t="shared" si="1"/>
        <v>50</v>
      </c>
      <c r="F19" s="47">
        <f t="shared" si="2"/>
        <v>9682</v>
      </c>
      <c r="G19" s="53">
        <f t="shared" si="0"/>
        <v>484100</v>
      </c>
    </row>
    <row r="20" spans="1:7" x14ac:dyDescent="0.2">
      <c r="A20" s="49" t="s">
        <v>28</v>
      </c>
      <c r="B20" s="50">
        <v>1</v>
      </c>
      <c r="C20" s="45">
        <v>50</v>
      </c>
      <c r="D20" s="51">
        <v>0</v>
      </c>
      <c r="E20" s="52">
        <f t="shared" si="1"/>
        <v>50</v>
      </c>
      <c r="F20" s="47">
        <f t="shared" si="2"/>
        <v>9682</v>
      </c>
      <c r="G20" s="53">
        <f t="shared" si="0"/>
        <v>484100</v>
      </c>
    </row>
    <row r="21" spans="1:7" x14ac:dyDescent="0.2">
      <c r="A21" s="49" t="s">
        <v>29</v>
      </c>
      <c r="B21" s="50">
        <v>1</v>
      </c>
      <c r="C21" s="45"/>
      <c r="D21" s="51">
        <v>0</v>
      </c>
      <c r="E21" s="45">
        <f t="shared" si="1"/>
        <v>0</v>
      </c>
      <c r="F21" s="47">
        <f t="shared" si="2"/>
        <v>9682</v>
      </c>
      <c r="G21" s="53">
        <f t="shared" si="0"/>
        <v>0</v>
      </c>
    </row>
    <row r="22" spans="1:7" x14ac:dyDescent="0.2">
      <c r="A22" s="54" t="s">
        <v>30</v>
      </c>
      <c r="B22" s="50">
        <v>1.08</v>
      </c>
      <c r="C22" s="45"/>
      <c r="D22" s="51">
        <v>0</v>
      </c>
      <c r="E22" s="52">
        <f t="shared" si="1"/>
        <v>0</v>
      </c>
      <c r="F22" s="47">
        <f t="shared" si="2"/>
        <v>10456.560000000001</v>
      </c>
      <c r="G22" s="53">
        <f t="shared" si="0"/>
        <v>0</v>
      </c>
    </row>
    <row r="23" spans="1:7" x14ac:dyDescent="0.2">
      <c r="A23" s="54" t="s">
        <v>31</v>
      </c>
      <c r="B23" s="50">
        <v>1.08</v>
      </c>
      <c r="C23" s="45">
        <f>+'[2]Data inputs'!W11</f>
        <v>0</v>
      </c>
      <c r="D23" s="51">
        <v>0</v>
      </c>
      <c r="E23" s="52">
        <f t="shared" si="1"/>
        <v>0</v>
      </c>
      <c r="F23" s="47">
        <f t="shared" si="2"/>
        <v>10456.560000000001</v>
      </c>
      <c r="G23" s="53">
        <f t="shared" si="0"/>
        <v>0</v>
      </c>
    </row>
    <row r="24" spans="1:7" x14ac:dyDescent="0.2">
      <c r="A24" s="54" t="s">
        <v>32</v>
      </c>
      <c r="B24" s="50">
        <v>1.08</v>
      </c>
      <c r="C24" s="45">
        <f>+'[2]Data inputs'!W12</f>
        <v>0</v>
      </c>
      <c r="D24" s="51">
        <v>0</v>
      </c>
      <c r="E24" s="52">
        <f t="shared" si="1"/>
        <v>0</v>
      </c>
      <c r="F24" s="47">
        <f t="shared" si="2"/>
        <v>10456.560000000001</v>
      </c>
      <c r="G24" s="53">
        <f t="shared" si="0"/>
        <v>0</v>
      </c>
    </row>
    <row r="25" spans="1:7" x14ac:dyDescent="0.2">
      <c r="A25" s="49" t="s">
        <v>33</v>
      </c>
      <c r="B25" s="50">
        <v>1.22</v>
      </c>
      <c r="C25" s="45">
        <f>+'[2]Data inputs'!W13</f>
        <v>0</v>
      </c>
      <c r="D25" s="51">
        <v>0</v>
      </c>
      <c r="E25" s="52">
        <f t="shared" si="1"/>
        <v>0</v>
      </c>
      <c r="F25" s="47">
        <f t="shared" si="2"/>
        <v>11812.039999999999</v>
      </c>
      <c r="G25" s="53">
        <f t="shared" si="0"/>
        <v>0</v>
      </c>
    </row>
    <row r="26" spans="1:7" x14ac:dyDescent="0.2">
      <c r="A26" s="49" t="s">
        <v>34</v>
      </c>
      <c r="B26" s="50">
        <v>1.22</v>
      </c>
      <c r="C26" s="45">
        <f>+'[2]Data inputs'!W14</f>
        <v>0</v>
      </c>
      <c r="D26" s="51">
        <v>0</v>
      </c>
      <c r="E26" s="52">
        <f t="shared" si="1"/>
        <v>0</v>
      </c>
      <c r="F26" s="47">
        <f t="shared" si="2"/>
        <v>11812.039999999999</v>
      </c>
      <c r="G26" s="53">
        <f t="shared" si="0"/>
        <v>0</v>
      </c>
    </row>
    <row r="27" spans="1:7" x14ac:dyDescent="0.2">
      <c r="A27" s="49" t="s">
        <v>35</v>
      </c>
      <c r="B27" s="50">
        <v>1.22</v>
      </c>
      <c r="C27" s="45">
        <f>+'[2]Data inputs'!W15</f>
        <v>0</v>
      </c>
      <c r="D27" s="51">
        <v>0</v>
      </c>
      <c r="E27" s="52">
        <f t="shared" si="1"/>
        <v>0</v>
      </c>
      <c r="F27" s="47">
        <f t="shared" si="2"/>
        <v>11812.039999999999</v>
      </c>
      <c r="G27" s="53">
        <f t="shared" si="0"/>
        <v>0</v>
      </c>
    </row>
    <row r="28" spans="1:7" x14ac:dyDescent="0.2">
      <c r="A28" s="49" t="s">
        <v>36</v>
      </c>
      <c r="B28" s="50">
        <v>1.22</v>
      </c>
      <c r="C28" s="45">
        <f>+'[2]Data inputs'!W16</f>
        <v>0</v>
      </c>
      <c r="D28" s="51">
        <v>0</v>
      </c>
      <c r="E28" s="52">
        <f t="shared" si="1"/>
        <v>0</v>
      </c>
      <c r="F28" s="47">
        <f t="shared" si="2"/>
        <v>11812.039999999999</v>
      </c>
      <c r="G28" s="53">
        <f t="shared" si="0"/>
        <v>0</v>
      </c>
    </row>
    <row r="29" spans="1:7" x14ac:dyDescent="0.2">
      <c r="A29" s="49" t="s">
        <v>37</v>
      </c>
      <c r="B29" s="50">
        <v>1.44</v>
      </c>
      <c r="C29" s="45">
        <f>+'[2]Data inputs'!W17</f>
        <v>0</v>
      </c>
      <c r="D29" s="51">
        <v>0</v>
      </c>
      <c r="E29" s="52">
        <f t="shared" si="1"/>
        <v>0</v>
      </c>
      <c r="F29" s="47">
        <f t="shared" si="2"/>
        <v>13942.08</v>
      </c>
      <c r="G29" s="53">
        <f t="shared" si="0"/>
        <v>0</v>
      </c>
    </row>
    <row r="30" spans="1:7" x14ac:dyDescent="0.2">
      <c r="A30" s="49" t="s">
        <v>38</v>
      </c>
      <c r="B30" s="50">
        <v>1.17</v>
      </c>
      <c r="C30" s="45">
        <f>+'[2]Data inputs'!W18</f>
        <v>0</v>
      </c>
      <c r="D30" s="51">
        <v>0</v>
      </c>
      <c r="E30" s="52">
        <f t="shared" si="1"/>
        <v>0</v>
      </c>
      <c r="F30" s="47">
        <f t="shared" si="2"/>
        <v>11327.939999999999</v>
      </c>
      <c r="G30" s="53">
        <f t="shared" si="0"/>
        <v>0</v>
      </c>
    </row>
    <row r="31" spans="1:7" ht="13.5" thickBot="1" x14ac:dyDescent="0.25">
      <c r="A31" s="55" t="s">
        <v>39</v>
      </c>
      <c r="B31" s="56">
        <v>0.89</v>
      </c>
      <c r="C31" s="45">
        <f>+'[2]Data inputs'!W19</f>
        <v>0</v>
      </c>
      <c r="D31" s="57">
        <v>0</v>
      </c>
      <c r="E31" s="58">
        <f t="shared" si="1"/>
        <v>0</v>
      </c>
      <c r="F31" s="47">
        <f t="shared" si="2"/>
        <v>8616.98</v>
      </c>
      <c r="G31" s="59">
        <f t="shared" si="0"/>
        <v>0</v>
      </c>
    </row>
    <row r="32" spans="1:7" ht="13.5" thickBot="1" x14ac:dyDescent="0.25">
      <c r="A32" s="60" t="s">
        <v>40</v>
      </c>
      <c r="B32" s="61"/>
      <c r="C32" s="62">
        <f>SUM(C14:C31)</f>
        <v>348</v>
      </c>
      <c r="D32" s="62">
        <f>SUM(D14:D31)</f>
        <v>0</v>
      </c>
      <c r="E32" s="62">
        <f>SUM(E14:E31)</f>
        <v>348</v>
      </c>
      <c r="F32" s="186"/>
      <c r="G32" s="63">
        <f>SUM(G14:G31)</f>
        <v>3818193.52</v>
      </c>
    </row>
    <row r="33" spans="1:7" ht="13.5" thickBot="1" x14ac:dyDescent="0.25">
      <c r="A33" s="64"/>
      <c r="B33" s="65"/>
      <c r="C33" s="66"/>
      <c r="D33" s="66"/>
      <c r="E33" s="67"/>
      <c r="F33" s="27"/>
      <c r="G33" s="28"/>
    </row>
    <row r="34" spans="1:7" x14ac:dyDescent="0.2">
      <c r="A34" s="68" t="s">
        <v>41</v>
      </c>
      <c r="B34" s="69" t="s">
        <v>16</v>
      </c>
      <c r="C34" s="69" t="s">
        <v>19</v>
      </c>
      <c r="D34" s="69" t="s">
        <v>42</v>
      </c>
      <c r="E34" s="69" t="s">
        <v>13</v>
      </c>
      <c r="F34" s="36" t="s">
        <v>20</v>
      </c>
      <c r="G34" s="37" t="s">
        <v>21</v>
      </c>
    </row>
    <row r="35" spans="1:7" x14ac:dyDescent="0.2">
      <c r="A35" s="49" t="s">
        <v>43</v>
      </c>
      <c r="B35" s="50">
        <v>0.97</v>
      </c>
      <c r="C35" s="45">
        <v>0</v>
      </c>
      <c r="D35" s="70">
        <v>0</v>
      </c>
      <c r="E35" s="52">
        <f t="shared" ref="E35:E39" si="3">C35+D35</f>
        <v>0</v>
      </c>
      <c r="F35" s="71">
        <f t="shared" ref="F35:F39" si="4">$C$6*B35</f>
        <v>9391.5399999999991</v>
      </c>
      <c r="G35" s="72">
        <f>E35*F35</f>
        <v>0</v>
      </c>
    </row>
    <row r="36" spans="1:7" x14ac:dyDescent="0.2">
      <c r="A36" s="49" t="s">
        <v>44</v>
      </c>
      <c r="B36" s="50">
        <v>1.2</v>
      </c>
      <c r="C36" s="45">
        <v>0</v>
      </c>
      <c r="D36" s="70">
        <v>0</v>
      </c>
      <c r="E36" s="52">
        <f t="shared" si="3"/>
        <v>0</v>
      </c>
      <c r="F36" s="73">
        <f t="shared" si="4"/>
        <v>11618.4</v>
      </c>
      <c r="G36" s="74">
        <f>E36*F36</f>
        <v>0</v>
      </c>
    </row>
    <row r="37" spans="1:7" x14ac:dyDescent="0.2">
      <c r="A37" s="49" t="s">
        <v>45</v>
      </c>
      <c r="B37" s="50">
        <v>1.97</v>
      </c>
      <c r="C37" s="45">
        <v>0</v>
      </c>
      <c r="D37" s="70">
        <v>0</v>
      </c>
      <c r="E37" s="52">
        <f t="shared" si="3"/>
        <v>0</v>
      </c>
      <c r="F37" s="73">
        <f t="shared" si="4"/>
        <v>19073.54</v>
      </c>
      <c r="G37" s="74">
        <f>E37*F37</f>
        <v>0</v>
      </c>
    </row>
    <row r="38" spans="1:7" x14ac:dyDescent="0.2">
      <c r="A38" s="49" t="s">
        <v>46</v>
      </c>
      <c r="B38" s="50">
        <v>3.49</v>
      </c>
      <c r="C38" s="45">
        <v>0</v>
      </c>
      <c r="D38" s="70">
        <v>0</v>
      </c>
      <c r="E38" s="52">
        <f t="shared" si="3"/>
        <v>0</v>
      </c>
      <c r="F38" s="73">
        <f t="shared" si="4"/>
        <v>33790.18</v>
      </c>
      <c r="G38" s="74">
        <f>E38*F38</f>
        <v>0</v>
      </c>
    </row>
    <row r="39" spans="1:7" x14ac:dyDescent="0.2">
      <c r="A39" s="49"/>
      <c r="B39" s="50"/>
      <c r="C39" s="45">
        <f>SUM(C35:C38)</f>
        <v>0</v>
      </c>
      <c r="D39" s="70">
        <f>SUM(D35:D38)</f>
        <v>0</v>
      </c>
      <c r="E39" s="52">
        <f t="shared" si="3"/>
        <v>0</v>
      </c>
      <c r="F39" s="73">
        <f t="shared" si="4"/>
        <v>0</v>
      </c>
      <c r="G39" s="74">
        <f>E39*F39</f>
        <v>0</v>
      </c>
    </row>
    <row r="40" spans="1:7" ht="13.5" thickBot="1" x14ac:dyDescent="0.25">
      <c r="A40" s="75" t="s">
        <v>47</v>
      </c>
      <c r="B40" s="76"/>
      <c r="C40" s="77">
        <f>C39</f>
        <v>0</v>
      </c>
      <c r="D40" s="77">
        <f>D39</f>
        <v>0</v>
      </c>
      <c r="E40" s="78">
        <f>SUM(E35:E38)</f>
        <v>0</v>
      </c>
      <c r="F40" s="79"/>
      <c r="G40" s="80">
        <f>SUM(G35:G39)</f>
        <v>0</v>
      </c>
    </row>
    <row r="41" spans="1:7" ht="13.5" thickBot="1" x14ac:dyDescent="0.25">
      <c r="A41" s="27"/>
      <c r="B41" s="81"/>
      <c r="C41" s="66"/>
      <c r="D41" s="66"/>
      <c r="E41" s="67"/>
      <c r="F41" s="27"/>
      <c r="G41" s="28"/>
    </row>
    <row r="42" spans="1:7" x14ac:dyDescent="0.2">
      <c r="A42" s="43" t="s">
        <v>48</v>
      </c>
      <c r="B42" s="82">
        <v>6.9000000000000006E-2</v>
      </c>
      <c r="C42" s="7">
        <f>C39</f>
        <v>0</v>
      </c>
      <c r="D42" s="7">
        <f>D40</f>
        <v>0</v>
      </c>
      <c r="E42" s="83">
        <f t="shared" ref="E42:E43" si="5">C42+D42</f>
        <v>0</v>
      </c>
      <c r="F42" s="84">
        <f t="shared" ref="F42:F43" si="6">$C$6*B42</f>
        <v>668.05800000000011</v>
      </c>
      <c r="G42" s="85">
        <f>E42*F42</f>
        <v>0</v>
      </c>
    </row>
    <row r="43" spans="1:7" ht="13.5" thickBot="1" x14ac:dyDescent="0.25">
      <c r="A43" s="86" t="s">
        <v>49</v>
      </c>
      <c r="B43" s="87">
        <v>8.8999999999999996E-2</v>
      </c>
      <c r="C43" s="88">
        <f>C39</f>
        <v>0</v>
      </c>
      <c r="D43" s="88">
        <f>D42</f>
        <v>0</v>
      </c>
      <c r="E43" s="58">
        <f t="shared" si="5"/>
        <v>0</v>
      </c>
      <c r="F43" s="89">
        <f t="shared" si="6"/>
        <v>861.69799999999998</v>
      </c>
      <c r="G43" s="90">
        <f>E43*F43</f>
        <v>0</v>
      </c>
    </row>
    <row r="44" spans="1:7" ht="13.5" thickBot="1" x14ac:dyDescent="0.25">
      <c r="A44" s="60" t="s">
        <v>50</v>
      </c>
      <c r="B44" s="61"/>
      <c r="C44" s="62">
        <f>C43</f>
        <v>0</v>
      </c>
      <c r="D44" s="62">
        <f>D43</f>
        <v>0</v>
      </c>
      <c r="E44" s="91"/>
      <c r="F44" s="92">
        <f>SUM(F42:F43)</f>
        <v>1529.7560000000001</v>
      </c>
      <c r="G44" s="93">
        <f>SUM(G42:G43)</f>
        <v>0</v>
      </c>
    </row>
    <row r="45" spans="1:7" ht="14.25" thickBot="1" x14ac:dyDescent="0.3">
      <c r="A45" s="94"/>
      <c r="B45" s="81"/>
      <c r="C45" s="66"/>
      <c r="D45" s="66"/>
      <c r="E45" s="67"/>
      <c r="F45" s="27"/>
      <c r="G45" s="28"/>
    </row>
    <row r="46" spans="1:7" x14ac:dyDescent="0.2">
      <c r="A46" s="95" t="s">
        <v>51</v>
      </c>
      <c r="B46" s="69" t="s">
        <v>16</v>
      </c>
      <c r="C46" s="69" t="s">
        <v>19</v>
      </c>
      <c r="D46" s="69" t="s">
        <v>52</v>
      </c>
      <c r="E46" s="69" t="s">
        <v>13</v>
      </c>
      <c r="F46" s="36" t="s">
        <v>20</v>
      </c>
      <c r="G46" s="37" t="s">
        <v>21</v>
      </c>
    </row>
    <row r="47" spans="1:7" ht="13.5" thickBot="1" x14ac:dyDescent="0.25">
      <c r="A47" s="96" t="s">
        <v>53</v>
      </c>
      <c r="B47" s="97">
        <v>0.49</v>
      </c>
      <c r="C47" s="98">
        <v>0</v>
      </c>
      <c r="D47" s="99">
        <v>0</v>
      </c>
      <c r="E47" s="100">
        <f>C47+D47</f>
        <v>0</v>
      </c>
      <c r="F47" s="101">
        <f>$C$6*B47</f>
        <v>4744.18</v>
      </c>
      <c r="G47" s="102">
        <f>E47*F47</f>
        <v>0</v>
      </c>
    </row>
    <row r="48" spans="1:7" ht="13.5" thickBot="1" x14ac:dyDescent="0.25">
      <c r="A48" s="27"/>
      <c r="B48" s="81"/>
      <c r="C48" s="66"/>
      <c r="D48" s="66"/>
      <c r="E48" s="67"/>
      <c r="F48" s="27"/>
      <c r="G48" s="28"/>
    </row>
    <row r="49" spans="1:10" ht="12.75" customHeight="1" x14ac:dyDescent="0.2">
      <c r="A49" s="103" t="s">
        <v>54</v>
      </c>
      <c r="B49" s="69" t="s">
        <v>16</v>
      </c>
      <c r="C49" s="69" t="s">
        <v>19</v>
      </c>
      <c r="D49" s="69" t="s">
        <v>42</v>
      </c>
      <c r="E49" s="69" t="s">
        <v>13</v>
      </c>
      <c r="F49" s="36" t="s">
        <v>20</v>
      </c>
      <c r="G49" s="37" t="s">
        <v>21</v>
      </c>
    </row>
    <row r="50" spans="1:10" ht="12.75" customHeight="1" x14ac:dyDescent="0.2">
      <c r="A50" s="104" t="s">
        <v>55</v>
      </c>
      <c r="B50" s="105">
        <v>0.36799999999999999</v>
      </c>
      <c r="C50" s="45">
        <v>0</v>
      </c>
      <c r="D50" s="70"/>
      <c r="E50" s="106">
        <f>C50+D50</f>
        <v>0</v>
      </c>
      <c r="F50" s="73">
        <f t="shared" ref="F50:F53" si="7">$C$6*B50</f>
        <v>3562.9760000000001</v>
      </c>
      <c r="G50" s="74">
        <f>E50*F50</f>
        <v>0</v>
      </c>
    </row>
    <row r="51" spans="1:10" ht="12.75" customHeight="1" x14ac:dyDescent="0.2">
      <c r="A51" s="104" t="s">
        <v>56</v>
      </c>
      <c r="B51" s="105">
        <v>1.337</v>
      </c>
      <c r="C51" s="45">
        <v>0</v>
      </c>
      <c r="D51" s="70"/>
      <c r="E51" s="107">
        <f t="shared" ref="E51:E53" si="8">C51+D51</f>
        <v>0</v>
      </c>
      <c r="F51" s="73">
        <f t="shared" si="7"/>
        <v>12944.833999999999</v>
      </c>
      <c r="G51" s="74">
        <f>E51*F51</f>
        <v>0</v>
      </c>
    </row>
    <row r="52" spans="1:10" ht="12.75" customHeight="1" x14ac:dyDescent="0.2">
      <c r="A52" s="104" t="s">
        <v>57</v>
      </c>
      <c r="B52" s="105">
        <v>2.891</v>
      </c>
      <c r="C52" s="45">
        <v>0</v>
      </c>
      <c r="D52" s="70"/>
      <c r="E52" s="107">
        <f t="shared" si="8"/>
        <v>0</v>
      </c>
      <c r="F52" s="73">
        <f t="shared" si="7"/>
        <v>27990.662</v>
      </c>
      <c r="G52" s="74">
        <f>E52*F52</f>
        <v>0</v>
      </c>
      <c r="J52" s="108"/>
    </row>
    <row r="53" spans="1:10" ht="12.75" customHeight="1" x14ac:dyDescent="0.2">
      <c r="A53" s="104" t="s">
        <v>58</v>
      </c>
      <c r="B53" s="105">
        <v>2.8740000000000001</v>
      </c>
      <c r="C53" s="45">
        <v>0</v>
      </c>
      <c r="D53" s="70"/>
      <c r="E53" s="107">
        <f t="shared" si="8"/>
        <v>0</v>
      </c>
      <c r="F53" s="73">
        <f t="shared" si="7"/>
        <v>27826.067999999999</v>
      </c>
      <c r="G53" s="74">
        <f>E53*F53</f>
        <v>0</v>
      </c>
      <c r="J53" s="108"/>
    </row>
    <row r="54" spans="1:10" ht="13.5" customHeight="1" thickBot="1" x14ac:dyDescent="0.25">
      <c r="A54" s="187" t="s">
        <v>59</v>
      </c>
      <c r="B54" s="109"/>
      <c r="C54" s="77">
        <f>SUM(C50:C53)</f>
        <v>0</v>
      </c>
      <c r="D54" s="77"/>
      <c r="E54" s="110">
        <f>SUM(E50:E53)</f>
        <v>0</v>
      </c>
      <c r="F54" s="111"/>
      <c r="G54" s="112">
        <f>SUM(G50:G53)</f>
        <v>0</v>
      </c>
      <c r="J54" s="108"/>
    </row>
    <row r="55" spans="1:10" ht="13.5" customHeight="1" thickBot="1" x14ac:dyDescent="0.25">
      <c r="A55" s="64"/>
      <c r="B55" s="113"/>
      <c r="C55" s="114"/>
      <c r="D55" s="66"/>
      <c r="E55" s="67"/>
      <c r="F55" s="27"/>
      <c r="G55" s="28"/>
      <c r="J55" s="108"/>
    </row>
    <row r="56" spans="1:10" ht="25.5" x14ac:dyDescent="0.2">
      <c r="A56" s="115" t="s">
        <v>60</v>
      </c>
      <c r="B56" s="69" t="s">
        <v>16</v>
      </c>
      <c r="C56" s="69" t="s">
        <v>19</v>
      </c>
      <c r="D56" s="69"/>
      <c r="E56" s="69" t="s">
        <v>13</v>
      </c>
      <c r="F56" s="36" t="s">
        <v>20</v>
      </c>
      <c r="G56" s="37" t="s">
        <v>21</v>
      </c>
      <c r="J56" s="108"/>
    </row>
    <row r="57" spans="1:10" ht="13.5" customHeight="1" thickBot="1" x14ac:dyDescent="0.25">
      <c r="A57" s="96" t="s">
        <v>61</v>
      </c>
      <c r="B57" s="116">
        <v>0.66800000000000004</v>
      </c>
      <c r="C57" s="99">
        <v>0</v>
      </c>
      <c r="D57" s="117"/>
      <c r="E57" s="100">
        <f>C57+D57</f>
        <v>0</v>
      </c>
      <c r="F57" s="101">
        <f>ROUND($C$6*B57,0)</f>
        <v>6468</v>
      </c>
      <c r="G57" s="102">
        <f>E57*F57</f>
        <v>0</v>
      </c>
      <c r="J57" s="108"/>
    </row>
    <row r="58" spans="1:10" ht="13.5" customHeight="1" thickBot="1" x14ac:dyDescent="0.25">
      <c r="A58" s="27"/>
      <c r="B58" s="113"/>
      <c r="C58" s="118"/>
      <c r="D58" s="66"/>
      <c r="E58" s="119"/>
      <c r="F58" s="27"/>
      <c r="G58" s="28"/>
      <c r="J58" s="108"/>
    </row>
    <row r="59" spans="1:10" ht="12.75" customHeight="1" x14ac:dyDescent="0.2">
      <c r="A59" s="95" t="s">
        <v>62</v>
      </c>
      <c r="B59" s="69" t="s">
        <v>16</v>
      </c>
      <c r="C59" s="69" t="s">
        <v>19</v>
      </c>
      <c r="D59" s="69"/>
      <c r="E59" s="69" t="s">
        <v>13</v>
      </c>
      <c r="F59" s="36" t="s">
        <v>20</v>
      </c>
      <c r="G59" s="37" t="s">
        <v>21</v>
      </c>
      <c r="J59" s="108"/>
    </row>
    <row r="60" spans="1:10" ht="13.5" customHeight="1" thickBot="1" x14ac:dyDescent="0.25">
      <c r="A60" s="96" t="s">
        <v>62</v>
      </c>
      <c r="B60" s="97">
        <v>1.67</v>
      </c>
      <c r="C60" s="99">
        <v>0</v>
      </c>
      <c r="D60" s="117"/>
      <c r="E60" s="100">
        <f>C60+D60</f>
        <v>0</v>
      </c>
      <c r="F60" s="101">
        <f>$C$6*B60</f>
        <v>16168.939999999999</v>
      </c>
      <c r="G60" s="102">
        <f>E60*F60</f>
        <v>0</v>
      </c>
      <c r="J60" s="108"/>
    </row>
    <row r="61" spans="1:10" ht="13.5" thickBot="1" x14ac:dyDescent="0.25">
      <c r="A61" s="27"/>
      <c r="B61" s="113"/>
      <c r="C61" s="118"/>
      <c r="D61" s="66"/>
      <c r="E61" s="119"/>
      <c r="F61" s="27"/>
      <c r="G61" s="28"/>
      <c r="J61" s="108"/>
    </row>
    <row r="62" spans="1:10" ht="13.5" thickBot="1" x14ac:dyDescent="0.25">
      <c r="A62" s="120" t="s">
        <v>63</v>
      </c>
      <c r="B62" s="121">
        <v>0.219</v>
      </c>
      <c r="C62" s="98">
        <v>0</v>
      </c>
      <c r="D62" s="122"/>
      <c r="E62" s="123">
        <f>C62+D62</f>
        <v>0</v>
      </c>
      <c r="F62" s="124">
        <f>ROUND(B62*C6,0)</f>
        <v>2120</v>
      </c>
      <c r="G62" s="125">
        <f>C62*F62</f>
        <v>0</v>
      </c>
      <c r="J62" s="108"/>
    </row>
    <row r="63" spans="1:10" ht="13.5" thickBot="1" x14ac:dyDescent="0.25">
      <c r="A63" s="126"/>
      <c r="B63" s="127"/>
      <c r="C63" s="128"/>
      <c r="D63" s="128"/>
      <c r="E63" s="129"/>
      <c r="F63" s="130"/>
      <c r="G63" s="131"/>
      <c r="J63" s="108"/>
    </row>
    <row r="64" spans="1:10" x14ac:dyDescent="0.2">
      <c r="A64" s="103" t="s">
        <v>64</v>
      </c>
      <c r="B64" s="69" t="s">
        <v>16</v>
      </c>
      <c r="C64" s="69" t="s">
        <v>19</v>
      </c>
      <c r="D64" s="69"/>
      <c r="E64" s="69" t="s">
        <v>13</v>
      </c>
      <c r="F64" s="36" t="s">
        <v>20</v>
      </c>
      <c r="G64" s="37" t="s">
        <v>21</v>
      </c>
      <c r="J64" s="108"/>
    </row>
    <row r="65" spans="1:10" ht="12.75" customHeight="1" x14ac:dyDescent="0.2">
      <c r="A65" s="49" t="s">
        <v>65</v>
      </c>
      <c r="B65" s="132">
        <v>6.3E-2</v>
      </c>
      <c r="C65" s="70">
        <v>0</v>
      </c>
      <c r="D65" s="45"/>
      <c r="E65" s="107"/>
      <c r="F65" s="73">
        <f t="shared" ref="F65:F68" si="9">$C$6*B65</f>
        <v>609.96600000000001</v>
      </c>
      <c r="G65" s="53">
        <f>C65*F65</f>
        <v>0</v>
      </c>
      <c r="J65" s="108"/>
    </row>
    <row r="66" spans="1:10" ht="12.75" customHeight="1" x14ac:dyDescent="0.2">
      <c r="A66" s="49" t="s">
        <v>66</v>
      </c>
      <c r="B66" s="132">
        <v>0.22700000000000001</v>
      </c>
      <c r="C66" s="70">
        <v>0</v>
      </c>
      <c r="D66" s="45"/>
      <c r="E66" s="107"/>
      <c r="F66" s="73">
        <f t="shared" si="9"/>
        <v>2197.8139999999999</v>
      </c>
      <c r="G66" s="53">
        <f>C66*F66</f>
        <v>0</v>
      </c>
      <c r="J66" s="108"/>
    </row>
    <row r="67" spans="1:10" ht="12.75" customHeight="1" x14ac:dyDescent="0.2">
      <c r="A67" s="49" t="s">
        <v>67</v>
      </c>
      <c r="B67" s="132">
        <v>0.49099999999999999</v>
      </c>
      <c r="C67" s="70">
        <v>0</v>
      </c>
      <c r="D67" s="45"/>
      <c r="E67" s="107"/>
      <c r="F67" s="73">
        <f t="shared" si="9"/>
        <v>4753.8620000000001</v>
      </c>
      <c r="G67" s="53">
        <f>C67*F67</f>
        <v>0</v>
      </c>
      <c r="J67" s="108"/>
    </row>
    <row r="68" spans="1:10" ht="12.75" customHeight="1" x14ac:dyDescent="0.2">
      <c r="A68" s="49" t="s">
        <v>68</v>
      </c>
      <c r="B68" s="132">
        <v>0.48899999999999999</v>
      </c>
      <c r="C68" s="70">
        <v>0</v>
      </c>
      <c r="D68" s="45"/>
      <c r="E68" s="107"/>
      <c r="F68" s="133">
        <f t="shared" si="9"/>
        <v>4734.4979999999996</v>
      </c>
      <c r="G68" s="53">
        <f>C68*F68</f>
        <v>0</v>
      </c>
      <c r="J68" s="108"/>
    </row>
    <row r="69" spans="1:10" ht="14.25" customHeight="1" thickBot="1" x14ac:dyDescent="0.3">
      <c r="A69" s="134" t="s">
        <v>69</v>
      </c>
      <c r="B69" s="135"/>
      <c r="C69" s="77">
        <f>SUM(C65:C68)</f>
        <v>0</v>
      </c>
      <c r="D69" s="77"/>
      <c r="E69" s="78"/>
      <c r="F69" s="79"/>
      <c r="G69" s="136">
        <f>SUM(G65:G68)</f>
        <v>0</v>
      </c>
      <c r="J69" s="108"/>
    </row>
    <row r="70" spans="1:10" ht="13.5" thickBot="1" x14ac:dyDescent="0.25">
      <c r="A70" s="137"/>
      <c r="B70" s="138"/>
      <c r="C70" s="139"/>
      <c r="D70" s="140"/>
      <c r="E70" s="141"/>
      <c r="F70" s="142"/>
      <c r="G70" s="143"/>
      <c r="J70" s="108"/>
    </row>
    <row r="71" spans="1:10" ht="13.5" thickBot="1" x14ac:dyDescent="0.25">
      <c r="A71" s="144" t="s">
        <v>70</v>
      </c>
      <c r="B71" s="145"/>
      <c r="C71" s="145"/>
      <c r="D71" s="145"/>
      <c r="E71" s="145"/>
      <c r="F71" s="145"/>
      <c r="G71" s="146">
        <f>G32+G40+G44+G47+G54+G57+G60+G62+G69</f>
        <v>3818193.52</v>
      </c>
      <c r="J71" s="108"/>
    </row>
    <row r="72" spans="1:10" ht="13.5" thickBot="1" x14ac:dyDescent="0.25">
      <c r="A72" s="126"/>
      <c r="B72" s="147"/>
      <c r="C72" s="27"/>
      <c r="D72" s="27"/>
      <c r="E72" s="148"/>
      <c r="F72" s="27"/>
      <c r="G72" s="28"/>
      <c r="J72" s="108"/>
    </row>
    <row r="73" spans="1:10" x14ac:dyDescent="0.2">
      <c r="A73" s="149" t="s">
        <v>71</v>
      </c>
      <c r="B73" s="150"/>
      <c r="C73" s="151"/>
      <c r="D73" s="151"/>
      <c r="E73" s="152"/>
      <c r="F73" s="151"/>
      <c r="G73" s="153"/>
      <c r="J73" s="108"/>
    </row>
    <row r="74" spans="1:10" x14ac:dyDescent="0.2">
      <c r="A74" s="49" t="s">
        <v>72</v>
      </c>
      <c r="B74" s="52"/>
      <c r="C74" s="45">
        <f>C32-C75</f>
        <v>348</v>
      </c>
      <c r="D74" s="52"/>
      <c r="E74" s="154">
        <f>C74+D74</f>
        <v>348</v>
      </c>
      <c r="F74" s="155">
        <f>+C7</f>
        <v>3124</v>
      </c>
      <c r="G74" s="156">
        <f>C74*F74</f>
        <v>1087152</v>
      </c>
      <c r="J74" s="108"/>
    </row>
    <row r="75" spans="1:10" x14ac:dyDescent="0.2">
      <c r="A75" s="49" t="s">
        <v>73</v>
      </c>
      <c r="B75" s="52"/>
      <c r="C75" s="45">
        <f>C60</f>
        <v>0</v>
      </c>
      <c r="D75" s="157"/>
      <c r="E75" s="154">
        <f>C75+D75</f>
        <v>0</v>
      </c>
      <c r="F75" s="155">
        <f>C8</f>
        <v>8395</v>
      </c>
      <c r="G75" s="156">
        <f>C8*E75</f>
        <v>0</v>
      </c>
      <c r="J75" s="108"/>
    </row>
    <row r="76" spans="1:10" ht="13.5" thickBot="1" x14ac:dyDescent="0.25">
      <c r="A76" s="192" t="s">
        <v>74</v>
      </c>
      <c r="B76" s="193"/>
      <c r="C76" s="193"/>
      <c r="D76" s="193"/>
      <c r="E76" s="193"/>
      <c r="F76" s="193"/>
      <c r="G76" s="188">
        <f>G74+G75</f>
        <v>1087152</v>
      </c>
      <c r="J76" s="108"/>
    </row>
    <row r="77" spans="1:10" ht="13.5" thickBot="1" x14ac:dyDescent="0.25">
      <c r="A77" s="158"/>
      <c r="B77" s="184"/>
      <c r="C77" s="184"/>
      <c r="D77" s="184"/>
      <c r="E77" s="184"/>
      <c r="F77" s="184"/>
      <c r="G77" s="159"/>
      <c r="J77" s="108"/>
    </row>
    <row r="78" spans="1:10" ht="16.5" thickBot="1" x14ac:dyDescent="0.3">
      <c r="A78" s="160"/>
      <c r="B78" s="161"/>
      <c r="C78" s="161"/>
      <c r="D78" s="161"/>
      <c r="E78" s="162"/>
      <c r="F78" s="163" t="s">
        <v>75</v>
      </c>
      <c r="G78" s="164">
        <f>SUM(G71+G76)</f>
        <v>4905345.5199999996</v>
      </c>
      <c r="J78" s="108"/>
    </row>
    <row r="79" spans="1:10" x14ac:dyDescent="0.2">
      <c r="J79" s="108"/>
    </row>
    <row r="80" spans="1:10" x14ac:dyDescent="0.2">
      <c r="F80" s="8" t="s">
        <v>76</v>
      </c>
      <c r="G80" s="165" t="e">
        <f>+#REF!</f>
        <v>#REF!</v>
      </c>
    </row>
    <row r="81" spans="6:7" x14ac:dyDescent="0.2">
      <c r="F81" s="8" t="s">
        <v>77</v>
      </c>
      <c r="G81" s="166" t="e">
        <f>+#REF!</f>
        <v>#REF!</v>
      </c>
    </row>
    <row r="82" spans="6:7" x14ac:dyDescent="0.2">
      <c r="F82" s="8" t="s">
        <v>78</v>
      </c>
      <c r="G82" s="165">
        <v>0</v>
      </c>
    </row>
    <row r="83" spans="6:7" x14ac:dyDescent="0.2">
      <c r="F83" s="8" t="s">
        <v>79</v>
      </c>
      <c r="G83" s="165">
        <v>0</v>
      </c>
    </row>
    <row r="84" spans="6:7" x14ac:dyDescent="0.2">
      <c r="F84" s="8" t="s">
        <v>80</v>
      </c>
      <c r="G84" s="167" t="e">
        <f>SUM(G80:G83)</f>
        <v>#REF!</v>
      </c>
    </row>
  </sheetData>
  <mergeCells count="9">
    <mergeCell ref="D7:G7"/>
    <mergeCell ref="A76:F76"/>
    <mergeCell ref="A1:G1"/>
    <mergeCell ref="A2:G2"/>
    <mergeCell ref="A3:G3"/>
    <mergeCell ref="A4:G4"/>
    <mergeCell ref="A5:G5"/>
    <mergeCell ref="A6:B6"/>
    <mergeCell ref="E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16" workbookViewId="0">
      <selection activeCell="C16" sqref="C16"/>
    </sheetView>
  </sheetViews>
  <sheetFormatPr defaultColWidth="7.42578125" defaultRowHeight="12.75" x14ac:dyDescent="0.2"/>
  <cols>
    <col min="1" max="1" width="31.42578125" style="8" customWidth="1"/>
    <col min="2" max="2" width="13.42578125" style="8" customWidth="1"/>
    <col min="3" max="3" width="15.7109375" style="8" customWidth="1"/>
    <col min="4" max="4" width="18.42578125" style="8" hidden="1" customWidth="1"/>
    <col min="5" max="5" width="15.7109375" style="8" hidden="1" customWidth="1"/>
    <col min="6" max="6" width="23.7109375" style="8" customWidth="1"/>
    <col min="7" max="7" width="22.42578125" style="8" customWidth="1"/>
    <col min="8" max="16384" width="7.42578125" style="6"/>
  </cols>
  <sheetData>
    <row r="1" spans="1:7" ht="18.75" x14ac:dyDescent="0.3">
      <c r="A1" s="194" t="s">
        <v>0</v>
      </c>
      <c r="B1" s="195"/>
      <c r="C1" s="195"/>
      <c r="D1" s="195"/>
      <c r="E1" s="195"/>
      <c r="F1" s="196"/>
      <c r="G1" s="196"/>
    </row>
    <row r="2" spans="1:7" ht="18.75" x14ac:dyDescent="0.3">
      <c r="A2" s="194" t="s">
        <v>1</v>
      </c>
      <c r="B2" s="195"/>
      <c r="C2" s="195"/>
      <c r="D2" s="195"/>
      <c r="E2" s="195"/>
      <c r="F2" s="196"/>
      <c r="G2" s="196"/>
    </row>
    <row r="3" spans="1:7" ht="22.5" x14ac:dyDescent="0.3">
      <c r="A3" s="197" t="s">
        <v>2</v>
      </c>
      <c r="B3" s="198"/>
      <c r="C3" s="198"/>
      <c r="D3" s="198"/>
      <c r="E3" s="198"/>
      <c r="F3" s="198"/>
      <c r="G3" s="199"/>
    </row>
    <row r="4" spans="1:7" ht="22.5" x14ac:dyDescent="0.3">
      <c r="A4" s="197" t="s">
        <v>3</v>
      </c>
      <c r="B4" s="197"/>
      <c r="C4" s="197"/>
      <c r="D4" s="197"/>
      <c r="E4" s="197"/>
      <c r="F4" s="197"/>
      <c r="G4" s="197"/>
    </row>
    <row r="5" spans="1:7" ht="19.5" thickBot="1" x14ac:dyDescent="0.35">
      <c r="A5" s="200" t="s">
        <v>4</v>
      </c>
      <c r="B5" s="201"/>
      <c r="C5" s="201"/>
      <c r="D5" s="201"/>
      <c r="E5" s="201"/>
      <c r="F5" s="202"/>
      <c r="G5" s="202"/>
    </row>
    <row r="6" spans="1:7" ht="13.5" thickBot="1" x14ac:dyDescent="0.25">
      <c r="A6" s="203" t="s">
        <v>5</v>
      </c>
      <c r="B6" s="196"/>
      <c r="C6" s="22">
        <v>9682</v>
      </c>
      <c r="D6" s="23"/>
      <c r="E6" s="204"/>
      <c r="F6" s="205"/>
      <c r="G6" s="205"/>
    </row>
    <row r="7" spans="1:7" ht="15" x14ac:dyDescent="0.25">
      <c r="A7" s="24" t="s">
        <v>6</v>
      </c>
      <c r="B7" s="24"/>
      <c r="C7" s="25">
        <v>3124</v>
      </c>
      <c r="D7" s="190"/>
      <c r="E7" s="191"/>
      <c r="F7" s="191"/>
      <c r="G7" s="191"/>
    </row>
    <row r="8" spans="1:7" x14ac:dyDescent="0.2">
      <c r="A8" s="24" t="s">
        <v>7</v>
      </c>
      <c r="B8" s="24"/>
      <c r="C8" s="26">
        <v>8395</v>
      </c>
      <c r="D8" s="23"/>
      <c r="E8" s="183"/>
      <c r="F8" s="27"/>
      <c r="G8" s="28"/>
    </row>
    <row r="9" spans="1:7" x14ac:dyDescent="0.2">
      <c r="A9" s="24"/>
      <c r="B9" s="24"/>
      <c r="C9" s="29"/>
      <c r="D9" s="29"/>
      <c r="E9" s="30"/>
      <c r="F9" s="27"/>
      <c r="G9" s="28"/>
    </row>
    <row r="10" spans="1:7" x14ac:dyDescent="0.2">
      <c r="A10" s="24" t="s">
        <v>8</v>
      </c>
      <c r="B10" s="24"/>
      <c r="C10" s="30" t="s">
        <v>9</v>
      </c>
      <c r="D10" s="29"/>
      <c r="E10" s="30"/>
      <c r="F10" s="27"/>
      <c r="G10" s="28"/>
    </row>
    <row r="11" spans="1:7" ht="13.5" thickBot="1" x14ac:dyDescent="0.25">
      <c r="A11" s="24"/>
      <c r="B11" s="24"/>
      <c r="C11" s="29"/>
      <c r="D11" s="29"/>
      <c r="E11" s="30"/>
      <c r="F11" s="27"/>
      <c r="G11" s="28"/>
    </row>
    <row r="12" spans="1:7" ht="25.5" x14ac:dyDescent="0.2">
      <c r="A12" s="31" t="s">
        <v>10</v>
      </c>
      <c r="B12" s="32"/>
      <c r="C12" s="33" t="s">
        <v>11</v>
      </c>
      <c r="D12" s="34" t="s">
        <v>12</v>
      </c>
      <c r="E12" s="35" t="s">
        <v>13</v>
      </c>
      <c r="F12" s="36" t="s">
        <v>14</v>
      </c>
      <c r="G12" s="37" t="s">
        <v>13</v>
      </c>
    </row>
    <row r="13" spans="1:7" ht="13.5" thickBot="1" x14ac:dyDescent="0.25">
      <c r="A13" s="38" t="s">
        <v>15</v>
      </c>
      <c r="B13" s="39" t="s">
        <v>16</v>
      </c>
      <c r="C13" s="40" t="s">
        <v>17</v>
      </c>
      <c r="D13" s="39" t="s">
        <v>18</v>
      </c>
      <c r="E13" s="39" t="s">
        <v>19</v>
      </c>
      <c r="F13" s="41" t="s">
        <v>20</v>
      </c>
      <c r="G13" s="42" t="s">
        <v>21</v>
      </c>
    </row>
    <row r="14" spans="1:7" x14ac:dyDescent="0.2">
      <c r="A14" s="43" t="s">
        <v>22</v>
      </c>
      <c r="B14" s="44">
        <v>1.34</v>
      </c>
      <c r="C14" s="45">
        <v>50</v>
      </c>
      <c r="D14" s="46">
        <v>0</v>
      </c>
      <c r="E14" s="7">
        <f>C14+D14</f>
        <v>50</v>
      </c>
      <c r="F14" s="47">
        <f>$C$6*B14</f>
        <v>12973.880000000001</v>
      </c>
      <c r="G14" s="48">
        <f t="shared" ref="G14:G31" si="0">E14*F14</f>
        <v>648694</v>
      </c>
    </row>
    <row r="15" spans="1:7" x14ac:dyDescent="0.2">
      <c r="A15" s="49" t="s">
        <v>23</v>
      </c>
      <c r="B15" s="50">
        <v>1.3</v>
      </c>
      <c r="C15" s="45">
        <v>50</v>
      </c>
      <c r="D15" s="51">
        <v>0</v>
      </c>
      <c r="E15" s="52">
        <f t="shared" ref="E15:E31" si="1">C15+D15</f>
        <v>50</v>
      </c>
      <c r="F15" s="47">
        <f t="shared" ref="F15:F31" si="2">$C$6*B15</f>
        <v>12586.6</v>
      </c>
      <c r="G15" s="53">
        <f t="shared" si="0"/>
        <v>629330</v>
      </c>
    </row>
    <row r="16" spans="1:7" x14ac:dyDescent="0.2">
      <c r="A16" s="49" t="s">
        <v>24</v>
      </c>
      <c r="B16" s="50">
        <v>1.3</v>
      </c>
      <c r="C16" s="45">
        <v>50</v>
      </c>
      <c r="D16" s="51">
        <v>0</v>
      </c>
      <c r="E16" s="45">
        <f>C16+D16</f>
        <v>50</v>
      </c>
      <c r="F16" s="47">
        <f t="shared" si="2"/>
        <v>12586.6</v>
      </c>
      <c r="G16" s="53">
        <f t="shared" si="0"/>
        <v>629330</v>
      </c>
    </row>
    <row r="17" spans="1:7" x14ac:dyDescent="0.2">
      <c r="A17" s="49" t="s">
        <v>25</v>
      </c>
      <c r="B17" s="50">
        <v>1</v>
      </c>
      <c r="C17" s="45">
        <v>50</v>
      </c>
      <c r="D17" s="51">
        <v>0</v>
      </c>
      <c r="E17" s="45">
        <f t="shared" si="1"/>
        <v>50</v>
      </c>
      <c r="F17" s="47">
        <f t="shared" si="2"/>
        <v>9682</v>
      </c>
      <c r="G17" s="53">
        <f t="shared" si="0"/>
        <v>484100</v>
      </c>
    </row>
    <row r="18" spans="1:7" x14ac:dyDescent="0.2">
      <c r="A18" s="49" t="s">
        <v>26</v>
      </c>
      <c r="B18" s="50">
        <v>1</v>
      </c>
      <c r="C18" s="45">
        <v>50</v>
      </c>
      <c r="D18" s="51">
        <v>0</v>
      </c>
      <c r="E18" s="52">
        <f t="shared" si="1"/>
        <v>50</v>
      </c>
      <c r="F18" s="47">
        <f t="shared" si="2"/>
        <v>9682</v>
      </c>
      <c r="G18" s="53">
        <f t="shared" si="0"/>
        <v>484100</v>
      </c>
    </row>
    <row r="19" spans="1:7" x14ac:dyDescent="0.2">
      <c r="A19" s="49" t="s">
        <v>27</v>
      </c>
      <c r="B19" s="50">
        <v>1</v>
      </c>
      <c r="C19" s="45">
        <v>50</v>
      </c>
      <c r="D19" s="51">
        <v>0</v>
      </c>
      <c r="E19" s="52">
        <f t="shared" si="1"/>
        <v>50</v>
      </c>
      <c r="F19" s="47">
        <f t="shared" si="2"/>
        <v>9682</v>
      </c>
      <c r="G19" s="53">
        <f t="shared" si="0"/>
        <v>484100</v>
      </c>
    </row>
    <row r="20" spans="1:7" x14ac:dyDescent="0.2">
      <c r="A20" s="49" t="s">
        <v>28</v>
      </c>
      <c r="B20" s="50">
        <v>1</v>
      </c>
      <c r="C20" s="45">
        <v>50</v>
      </c>
      <c r="D20" s="51">
        <v>0</v>
      </c>
      <c r="E20" s="52">
        <f t="shared" si="1"/>
        <v>50</v>
      </c>
      <c r="F20" s="47">
        <f t="shared" si="2"/>
        <v>9682</v>
      </c>
      <c r="G20" s="53">
        <f t="shared" si="0"/>
        <v>484100</v>
      </c>
    </row>
    <row r="21" spans="1:7" x14ac:dyDescent="0.2">
      <c r="A21" s="49" t="s">
        <v>29</v>
      </c>
      <c r="B21" s="50">
        <v>1</v>
      </c>
      <c r="C21" s="45">
        <v>50</v>
      </c>
      <c r="D21" s="51">
        <v>0</v>
      </c>
      <c r="E21" s="45">
        <f t="shared" si="1"/>
        <v>50</v>
      </c>
      <c r="F21" s="47">
        <f t="shared" si="2"/>
        <v>9682</v>
      </c>
      <c r="G21" s="53">
        <f t="shared" si="0"/>
        <v>484100</v>
      </c>
    </row>
    <row r="22" spans="1:7" x14ac:dyDescent="0.2">
      <c r="A22" s="54" t="s">
        <v>30</v>
      </c>
      <c r="B22" s="50">
        <v>1.08</v>
      </c>
      <c r="C22" s="45"/>
      <c r="D22" s="51">
        <v>0</v>
      </c>
      <c r="E22" s="52">
        <f t="shared" si="1"/>
        <v>0</v>
      </c>
      <c r="F22" s="47">
        <f t="shared" si="2"/>
        <v>10456.560000000001</v>
      </c>
      <c r="G22" s="53">
        <f t="shared" si="0"/>
        <v>0</v>
      </c>
    </row>
    <row r="23" spans="1:7" x14ac:dyDescent="0.2">
      <c r="A23" s="54" t="s">
        <v>31</v>
      </c>
      <c r="B23" s="50">
        <v>1.08</v>
      </c>
      <c r="C23" s="45">
        <f>+'[2]Data inputs'!W11</f>
        <v>0</v>
      </c>
      <c r="D23" s="51">
        <v>0</v>
      </c>
      <c r="E23" s="52">
        <f t="shared" si="1"/>
        <v>0</v>
      </c>
      <c r="F23" s="47">
        <f t="shared" si="2"/>
        <v>10456.560000000001</v>
      </c>
      <c r="G23" s="53">
        <f t="shared" si="0"/>
        <v>0</v>
      </c>
    </row>
    <row r="24" spans="1:7" x14ac:dyDescent="0.2">
      <c r="A24" s="54" t="s">
        <v>32</v>
      </c>
      <c r="B24" s="50">
        <v>1.08</v>
      </c>
      <c r="C24" s="45">
        <f>+'[2]Data inputs'!W12</f>
        <v>0</v>
      </c>
      <c r="D24" s="51">
        <v>0</v>
      </c>
      <c r="E24" s="52">
        <f t="shared" si="1"/>
        <v>0</v>
      </c>
      <c r="F24" s="47">
        <f t="shared" si="2"/>
        <v>10456.560000000001</v>
      </c>
      <c r="G24" s="53">
        <f t="shared" si="0"/>
        <v>0</v>
      </c>
    </row>
    <row r="25" spans="1:7" x14ac:dyDescent="0.2">
      <c r="A25" s="49" t="s">
        <v>33</v>
      </c>
      <c r="B25" s="50">
        <v>1.22</v>
      </c>
      <c r="C25" s="45">
        <f>+'[2]Data inputs'!W13</f>
        <v>0</v>
      </c>
      <c r="D25" s="51">
        <v>0</v>
      </c>
      <c r="E25" s="52">
        <f t="shared" si="1"/>
        <v>0</v>
      </c>
      <c r="F25" s="47">
        <f t="shared" si="2"/>
        <v>11812.039999999999</v>
      </c>
      <c r="G25" s="53">
        <f t="shared" si="0"/>
        <v>0</v>
      </c>
    </row>
    <row r="26" spans="1:7" x14ac:dyDescent="0.2">
      <c r="A26" s="49" t="s">
        <v>34</v>
      </c>
      <c r="B26" s="50">
        <v>1.22</v>
      </c>
      <c r="C26" s="45">
        <f>+'[2]Data inputs'!W14</f>
        <v>0</v>
      </c>
      <c r="D26" s="51">
        <v>0</v>
      </c>
      <c r="E26" s="52">
        <f t="shared" si="1"/>
        <v>0</v>
      </c>
      <c r="F26" s="47">
        <f t="shared" si="2"/>
        <v>11812.039999999999</v>
      </c>
      <c r="G26" s="53">
        <f t="shared" si="0"/>
        <v>0</v>
      </c>
    </row>
    <row r="27" spans="1:7" x14ac:dyDescent="0.2">
      <c r="A27" s="49" t="s">
        <v>35</v>
      </c>
      <c r="B27" s="50">
        <v>1.22</v>
      </c>
      <c r="C27" s="45">
        <f>+'[2]Data inputs'!W15</f>
        <v>0</v>
      </c>
      <c r="D27" s="51">
        <v>0</v>
      </c>
      <c r="E27" s="52">
        <f t="shared" si="1"/>
        <v>0</v>
      </c>
      <c r="F27" s="47">
        <f t="shared" si="2"/>
        <v>11812.039999999999</v>
      </c>
      <c r="G27" s="53">
        <f t="shared" si="0"/>
        <v>0</v>
      </c>
    </row>
    <row r="28" spans="1:7" x14ac:dyDescent="0.2">
      <c r="A28" s="49" t="s">
        <v>36</v>
      </c>
      <c r="B28" s="50">
        <v>1.22</v>
      </c>
      <c r="C28" s="45">
        <f>+'[2]Data inputs'!W16</f>
        <v>0</v>
      </c>
      <c r="D28" s="51">
        <v>0</v>
      </c>
      <c r="E28" s="52">
        <f t="shared" si="1"/>
        <v>0</v>
      </c>
      <c r="F28" s="47">
        <f t="shared" si="2"/>
        <v>11812.039999999999</v>
      </c>
      <c r="G28" s="53">
        <f t="shared" si="0"/>
        <v>0</v>
      </c>
    </row>
    <row r="29" spans="1:7" x14ac:dyDescent="0.2">
      <c r="A29" s="49" t="s">
        <v>37</v>
      </c>
      <c r="B29" s="50">
        <v>1.44</v>
      </c>
      <c r="C29" s="45">
        <f>+'[2]Data inputs'!W17</f>
        <v>0</v>
      </c>
      <c r="D29" s="51">
        <v>0</v>
      </c>
      <c r="E29" s="52">
        <f t="shared" si="1"/>
        <v>0</v>
      </c>
      <c r="F29" s="47">
        <f t="shared" si="2"/>
        <v>13942.08</v>
      </c>
      <c r="G29" s="53">
        <f t="shared" si="0"/>
        <v>0</v>
      </c>
    </row>
    <row r="30" spans="1:7" x14ac:dyDescent="0.2">
      <c r="A30" s="49" t="s">
        <v>38</v>
      </c>
      <c r="B30" s="50">
        <v>1.17</v>
      </c>
      <c r="C30" s="45">
        <f>+'[2]Data inputs'!W18</f>
        <v>0</v>
      </c>
      <c r="D30" s="51">
        <v>0</v>
      </c>
      <c r="E30" s="52">
        <f t="shared" si="1"/>
        <v>0</v>
      </c>
      <c r="F30" s="47">
        <f t="shared" si="2"/>
        <v>11327.939999999999</v>
      </c>
      <c r="G30" s="53">
        <f t="shared" si="0"/>
        <v>0</v>
      </c>
    </row>
    <row r="31" spans="1:7" ht="13.5" thickBot="1" x14ac:dyDescent="0.25">
      <c r="A31" s="55" t="s">
        <v>39</v>
      </c>
      <c r="B31" s="56">
        <v>0.89</v>
      </c>
      <c r="C31" s="45">
        <f>+'[2]Data inputs'!W19</f>
        <v>0</v>
      </c>
      <c r="D31" s="57">
        <v>0</v>
      </c>
      <c r="E31" s="58">
        <f t="shared" si="1"/>
        <v>0</v>
      </c>
      <c r="F31" s="47">
        <f t="shared" si="2"/>
        <v>8616.98</v>
      </c>
      <c r="G31" s="59">
        <f t="shared" si="0"/>
        <v>0</v>
      </c>
    </row>
    <row r="32" spans="1:7" ht="13.5" thickBot="1" x14ac:dyDescent="0.25">
      <c r="A32" s="60" t="s">
        <v>40</v>
      </c>
      <c r="B32" s="61"/>
      <c r="C32" s="62">
        <f>SUM(C14:C31)</f>
        <v>400</v>
      </c>
      <c r="D32" s="62">
        <f>SUM(D14:D31)</f>
        <v>0</v>
      </c>
      <c r="E32" s="62">
        <f>SUM(E14:E31)</f>
        <v>400</v>
      </c>
      <c r="F32" s="186"/>
      <c r="G32" s="63">
        <f>SUM(G14:G31)</f>
        <v>4327854</v>
      </c>
    </row>
    <row r="33" spans="1:7" ht="13.5" thickBot="1" x14ac:dyDescent="0.25">
      <c r="A33" s="64"/>
      <c r="B33" s="65"/>
      <c r="C33" s="66"/>
      <c r="D33" s="66"/>
      <c r="E33" s="67"/>
      <c r="F33" s="27"/>
      <c r="G33" s="28"/>
    </row>
    <row r="34" spans="1:7" x14ac:dyDescent="0.2">
      <c r="A34" s="68" t="s">
        <v>41</v>
      </c>
      <c r="B34" s="69" t="s">
        <v>16</v>
      </c>
      <c r="C34" s="69" t="s">
        <v>19</v>
      </c>
      <c r="D34" s="69" t="s">
        <v>42</v>
      </c>
      <c r="E34" s="69" t="s">
        <v>13</v>
      </c>
      <c r="F34" s="36" t="s">
        <v>20</v>
      </c>
      <c r="G34" s="37" t="s">
        <v>21</v>
      </c>
    </row>
    <row r="35" spans="1:7" x14ac:dyDescent="0.2">
      <c r="A35" s="49" t="s">
        <v>43</v>
      </c>
      <c r="B35" s="50">
        <v>0.97</v>
      </c>
      <c r="C35" s="45">
        <v>0</v>
      </c>
      <c r="D35" s="70">
        <v>0</v>
      </c>
      <c r="E35" s="52">
        <f t="shared" ref="E35:E39" si="3">C35+D35</f>
        <v>0</v>
      </c>
      <c r="F35" s="71">
        <f t="shared" ref="F35:F39" si="4">$C$6*B35</f>
        <v>9391.5399999999991</v>
      </c>
      <c r="G35" s="72">
        <f>E35*F35</f>
        <v>0</v>
      </c>
    </row>
    <row r="36" spans="1:7" x14ac:dyDescent="0.2">
      <c r="A36" s="49" t="s">
        <v>44</v>
      </c>
      <c r="B36" s="50">
        <v>1.2</v>
      </c>
      <c r="C36" s="45">
        <v>0</v>
      </c>
      <c r="D36" s="70">
        <v>0</v>
      </c>
      <c r="E36" s="52">
        <f t="shared" si="3"/>
        <v>0</v>
      </c>
      <c r="F36" s="73">
        <f t="shared" si="4"/>
        <v>11618.4</v>
      </c>
      <c r="G36" s="74">
        <f>E36*F36</f>
        <v>0</v>
      </c>
    </row>
    <row r="37" spans="1:7" x14ac:dyDescent="0.2">
      <c r="A37" s="49" t="s">
        <v>45</v>
      </c>
      <c r="B37" s="50">
        <v>1.97</v>
      </c>
      <c r="C37" s="45">
        <v>0</v>
      </c>
      <c r="D37" s="70">
        <v>0</v>
      </c>
      <c r="E37" s="52">
        <f t="shared" si="3"/>
        <v>0</v>
      </c>
      <c r="F37" s="73">
        <f t="shared" si="4"/>
        <v>19073.54</v>
      </c>
      <c r="G37" s="74">
        <f>E37*F37</f>
        <v>0</v>
      </c>
    </row>
    <row r="38" spans="1:7" x14ac:dyDescent="0.2">
      <c r="A38" s="49" t="s">
        <v>46</v>
      </c>
      <c r="B38" s="50">
        <v>3.49</v>
      </c>
      <c r="C38" s="45">
        <v>0</v>
      </c>
      <c r="D38" s="70">
        <v>0</v>
      </c>
      <c r="E38" s="52">
        <f t="shared" si="3"/>
        <v>0</v>
      </c>
      <c r="F38" s="73">
        <f t="shared" si="4"/>
        <v>33790.18</v>
      </c>
      <c r="G38" s="74">
        <f>E38*F38</f>
        <v>0</v>
      </c>
    </row>
    <row r="39" spans="1:7" x14ac:dyDescent="0.2">
      <c r="A39" s="49"/>
      <c r="B39" s="50"/>
      <c r="C39" s="45">
        <f>SUM(C35:C38)</f>
        <v>0</v>
      </c>
      <c r="D39" s="70">
        <f>SUM(D35:D38)</f>
        <v>0</v>
      </c>
      <c r="E39" s="52">
        <f t="shared" si="3"/>
        <v>0</v>
      </c>
      <c r="F39" s="73">
        <f t="shared" si="4"/>
        <v>0</v>
      </c>
      <c r="G39" s="74">
        <f>E39*F39</f>
        <v>0</v>
      </c>
    </row>
    <row r="40" spans="1:7" ht="13.5" thickBot="1" x14ac:dyDescent="0.25">
      <c r="A40" s="75" t="s">
        <v>47</v>
      </c>
      <c r="B40" s="76"/>
      <c r="C40" s="77">
        <f>C39</f>
        <v>0</v>
      </c>
      <c r="D40" s="77">
        <f>D39</f>
        <v>0</v>
      </c>
      <c r="E40" s="78">
        <f>SUM(E35:E38)</f>
        <v>0</v>
      </c>
      <c r="F40" s="79"/>
      <c r="G40" s="80">
        <f>SUM(G35:G39)</f>
        <v>0</v>
      </c>
    </row>
    <row r="41" spans="1:7" ht="13.5" thickBot="1" x14ac:dyDescent="0.25">
      <c r="A41" s="27"/>
      <c r="B41" s="81"/>
      <c r="C41" s="66"/>
      <c r="D41" s="66"/>
      <c r="E41" s="67"/>
      <c r="F41" s="27"/>
      <c r="G41" s="28"/>
    </row>
    <row r="42" spans="1:7" x14ac:dyDescent="0.2">
      <c r="A42" s="43" t="s">
        <v>48</v>
      </c>
      <c r="B42" s="82">
        <v>6.9000000000000006E-2</v>
      </c>
      <c r="C42" s="7">
        <f>C39</f>
        <v>0</v>
      </c>
      <c r="D42" s="7">
        <f>D40</f>
        <v>0</v>
      </c>
      <c r="E42" s="83">
        <f t="shared" ref="E42:E43" si="5">C42+D42</f>
        <v>0</v>
      </c>
      <c r="F42" s="84">
        <f t="shared" ref="F42:F43" si="6">$C$6*B42</f>
        <v>668.05800000000011</v>
      </c>
      <c r="G42" s="85">
        <f>E42*F42</f>
        <v>0</v>
      </c>
    </row>
    <row r="43" spans="1:7" ht="13.5" thickBot="1" x14ac:dyDescent="0.25">
      <c r="A43" s="86" t="s">
        <v>49</v>
      </c>
      <c r="B43" s="87">
        <v>8.8999999999999996E-2</v>
      </c>
      <c r="C43" s="88">
        <f>C39</f>
        <v>0</v>
      </c>
      <c r="D43" s="88">
        <f>D42</f>
        <v>0</v>
      </c>
      <c r="E43" s="58">
        <f t="shared" si="5"/>
        <v>0</v>
      </c>
      <c r="F43" s="89">
        <f t="shared" si="6"/>
        <v>861.69799999999998</v>
      </c>
      <c r="G43" s="90">
        <f>E43*F43</f>
        <v>0</v>
      </c>
    </row>
    <row r="44" spans="1:7" ht="13.5" thickBot="1" x14ac:dyDescent="0.25">
      <c r="A44" s="60" t="s">
        <v>50</v>
      </c>
      <c r="B44" s="61"/>
      <c r="C44" s="62">
        <f>C43</f>
        <v>0</v>
      </c>
      <c r="D44" s="62">
        <f>D43</f>
        <v>0</v>
      </c>
      <c r="E44" s="91"/>
      <c r="F44" s="92">
        <f>SUM(F42:F43)</f>
        <v>1529.7560000000001</v>
      </c>
      <c r="G44" s="93">
        <f>SUM(G42:G43)</f>
        <v>0</v>
      </c>
    </row>
    <row r="45" spans="1:7" ht="14.25" thickBot="1" x14ac:dyDescent="0.3">
      <c r="A45" s="94"/>
      <c r="B45" s="81"/>
      <c r="C45" s="66"/>
      <c r="D45" s="66"/>
      <c r="E45" s="67"/>
      <c r="F45" s="27"/>
      <c r="G45" s="28"/>
    </row>
    <row r="46" spans="1:7" x14ac:dyDescent="0.2">
      <c r="A46" s="95" t="s">
        <v>51</v>
      </c>
      <c r="B46" s="69" t="s">
        <v>16</v>
      </c>
      <c r="C46" s="69" t="s">
        <v>19</v>
      </c>
      <c r="D46" s="69" t="s">
        <v>52</v>
      </c>
      <c r="E46" s="69" t="s">
        <v>13</v>
      </c>
      <c r="F46" s="36" t="s">
        <v>20</v>
      </c>
      <c r="G46" s="37" t="s">
        <v>21</v>
      </c>
    </row>
    <row r="47" spans="1:7" ht="13.5" thickBot="1" x14ac:dyDescent="0.25">
      <c r="A47" s="96" t="s">
        <v>53</v>
      </c>
      <c r="B47" s="97">
        <v>0.49</v>
      </c>
      <c r="C47" s="98">
        <v>0</v>
      </c>
      <c r="D47" s="99">
        <v>0</v>
      </c>
      <c r="E47" s="100">
        <f>C47+D47</f>
        <v>0</v>
      </c>
      <c r="F47" s="101">
        <f>$C$6*B47</f>
        <v>4744.18</v>
      </c>
      <c r="G47" s="102">
        <f>E47*F47</f>
        <v>0</v>
      </c>
    </row>
    <row r="48" spans="1:7" ht="13.5" thickBot="1" x14ac:dyDescent="0.25">
      <c r="A48" s="27"/>
      <c r="B48" s="81"/>
      <c r="C48" s="66"/>
      <c r="D48" s="66"/>
      <c r="E48" s="67"/>
      <c r="F48" s="27"/>
      <c r="G48" s="28"/>
    </row>
    <row r="49" spans="1:10" ht="12.75" customHeight="1" x14ac:dyDescent="0.2">
      <c r="A49" s="103" t="s">
        <v>54</v>
      </c>
      <c r="B49" s="69" t="s">
        <v>16</v>
      </c>
      <c r="C49" s="69" t="s">
        <v>19</v>
      </c>
      <c r="D49" s="69" t="s">
        <v>42</v>
      </c>
      <c r="E49" s="69" t="s">
        <v>13</v>
      </c>
      <c r="F49" s="36" t="s">
        <v>20</v>
      </c>
      <c r="G49" s="37" t="s">
        <v>21</v>
      </c>
    </row>
    <row r="50" spans="1:10" ht="12.75" customHeight="1" x14ac:dyDescent="0.2">
      <c r="A50" s="104" t="s">
        <v>55</v>
      </c>
      <c r="B50" s="105">
        <v>0.36799999999999999</v>
      </c>
      <c r="C50" s="45">
        <v>0</v>
      </c>
      <c r="D50" s="70"/>
      <c r="E50" s="106">
        <f>C50+D50</f>
        <v>0</v>
      </c>
      <c r="F50" s="73">
        <f t="shared" ref="F50:F53" si="7">$C$6*B50</f>
        <v>3562.9760000000001</v>
      </c>
      <c r="G50" s="74">
        <f>E50*F50</f>
        <v>0</v>
      </c>
    </row>
    <row r="51" spans="1:10" ht="12.75" customHeight="1" x14ac:dyDescent="0.2">
      <c r="A51" s="104" t="s">
        <v>56</v>
      </c>
      <c r="B51" s="105">
        <v>1.337</v>
      </c>
      <c r="C51" s="45">
        <v>0</v>
      </c>
      <c r="D51" s="70"/>
      <c r="E51" s="107">
        <f t="shared" ref="E51:E53" si="8">C51+D51</f>
        <v>0</v>
      </c>
      <c r="F51" s="73">
        <f t="shared" si="7"/>
        <v>12944.833999999999</v>
      </c>
      <c r="G51" s="74">
        <f>E51*F51</f>
        <v>0</v>
      </c>
    </row>
    <row r="52" spans="1:10" ht="12.75" customHeight="1" x14ac:dyDescent="0.2">
      <c r="A52" s="104" t="s">
        <v>57</v>
      </c>
      <c r="B52" s="105">
        <v>2.891</v>
      </c>
      <c r="C52" s="45">
        <v>0</v>
      </c>
      <c r="D52" s="70"/>
      <c r="E52" s="107">
        <f t="shared" si="8"/>
        <v>0</v>
      </c>
      <c r="F52" s="73">
        <f t="shared" si="7"/>
        <v>27990.662</v>
      </c>
      <c r="G52" s="74">
        <f>E52*F52</f>
        <v>0</v>
      </c>
      <c r="J52" s="108"/>
    </row>
    <row r="53" spans="1:10" ht="12.75" customHeight="1" x14ac:dyDescent="0.2">
      <c r="A53" s="104" t="s">
        <v>58</v>
      </c>
      <c r="B53" s="105">
        <v>2.8740000000000001</v>
      </c>
      <c r="C53" s="45">
        <v>0</v>
      </c>
      <c r="D53" s="70"/>
      <c r="E53" s="107">
        <f t="shared" si="8"/>
        <v>0</v>
      </c>
      <c r="F53" s="73">
        <f t="shared" si="7"/>
        <v>27826.067999999999</v>
      </c>
      <c r="G53" s="74">
        <f>E53*F53</f>
        <v>0</v>
      </c>
      <c r="J53" s="108"/>
    </row>
    <row r="54" spans="1:10" ht="13.5" customHeight="1" thickBot="1" x14ac:dyDescent="0.25">
      <c r="A54" s="187" t="s">
        <v>59</v>
      </c>
      <c r="B54" s="109"/>
      <c r="C54" s="77">
        <f>SUM(C50:C53)</f>
        <v>0</v>
      </c>
      <c r="D54" s="77"/>
      <c r="E54" s="110">
        <f>SUM(E50:E53)</f>
        <v>0</v>
      </c>
      <c r="F54" s="111"/>
      <c r="G54" s="112">
        <f>SUM(G50:G53)</f>
        <v>0</v>
      </c>
      <c r="J54" s="108"/>
    </row>
    <row r="55" spans="1:10" ht="13.5" customHeight="1" thickBot="1" x14ac:dyDescent="0.25">
      <c r="A55" s="64"/>
      <c r="B55" s="113"/>
      <c r="C55" s="114"/>
      <c r="D55" s="66"/>
      <c r="E55" s="67"/>
      <c r="F55" s="27"/>
      <c r="G55" s="28"/>
      <c r="J55" s="108"/>
    </row>
    <row r="56" spans="1:10" ht="25.5" x14ac:dyDescent="0.2">
      <c r="A56" s="115" t="s">
        <v>60</v>
      </c>
      <c r="B56" s="69" t="s">
        <v>16</v>
      </c>
      <c r="C56" s="69" t="s">
        <v>19</v>
      </c>
      <c r="D56" s="69"/>
      <c r="E56" s="69" t="s">
        <v>13</v>
      </c>
      <c r="F56" s="36" t="s">
        <v>20</v>
      </c>
      <c r="G56" s="37" t="s">
        <v>21</v>
      </c>
      <c r="J56" s="108"/>
    </row>
    <row r="57" spans="1:10" ht="13.5" customHeight="1" thickBot="1" x14ac:dyDescent="0.25">
      <c r="A57" s="96" t="s">
        <v>61</v>
      </c>
      <c r="B57" s="116">
        <v>0.66800000000000004</v>
      </c>
      <c r="C57" s="99">
        <v>0</v>
      </c>
      <c r="D57" s="117"/>
      <c r="E57" s="100">
        <f>C57+D57</f>
        <v>0</v>
      </c>
      <c r="F57" s="101">
        <f>ROUND($C$6*B57,0)</f>
        <v>6468</v>
      </c>
      <c r="G57" s="102">
        <f>E57*F57</f>
        <v>0</v>
      </c>
      <c r="J57" s="108"/>
    </row>
    <row r="58" spans="1:10" ht="13.5" customHeight="1" thickBot="1" x14ac:dyDescent="0.25">
      <c r="A58" s="27"/>
      <c r="B58" s="113"/>
      <c r="C58" s="118"/>
      <c r="D58" s="66"/>
      <c r="E58" s="119"/>
      <c r="F58" s="27"/>
      <c r="G58" s="28"/>
      <c r="J58" s="108"/>
    </row>
    <row r="59" spans="1:10" ht="12.75" customHeight="1" x14ac:dyDescent="0.2">
      <c r="A59" s="95" t="s">
        <v>62</v>
      </c>
      <c r="B59" s="69" t="s">
        <v>16</v>
      </c>
      <c r="C59" s="69" t="s">
        <v>19</v>
      </c>
      <c r="D59" s="69"/>
      <c r="E59" s="69" t="s">
        <v>13</v>
      </c>
      <c r="F59" s="36" t="s">
        <v>20</v>
      </c>
      <c r="G59" s="37" t="s">
        <v>21</v>
      </c>
      <c r="J59" s="108"/>
    </row>
    <row r="60" spans="1:10" ht="13.5" customHeight="1" thickBot="1" x14ac:dyDescent="0.25">
      <c r="A60" s="96" t="s">
        <v>62</v>
      </c>
      <c r="B60" s="97">
        <v>1.67</v>
      </c>
      <c r="C60" s="99">
        <v>0</v>
      </c>
      <c r="D60" s="117"/>
      <c r="E60" s="100">
        <f>C60+D60</f>
        <v>0</v>
      </c>
      <c r="F60" s="101">
        <f>$C$6*B60</f>
        <v>16168.939999999999</v>
      </c>
      <c r="G60" s="102">
        <f>E60*F60</f>
        <v>0</v>
      </c>
      <c r="J60" s="108"/>
    </row>
    <row r="61" spans="1:10" ht="13.5" thickBot="1" x14ac:dyDescent="0.25">
      <c r="A61" s="27"/>
      <c r="B61" s="113"/>
      <c r="C61" s="118"/>
      <c r="D61" s="66"/>
      <c r="E61" s="119"/>
      <c r="F61" s="27"/>
      <c r="G61" s="28"/>
      <c r="J61" s="108"/>
    </row>
    <row r="62" spans="1:10" ht="13.5" thickBot="1" x14ac:dyDescent="0.25">
      <c r="A62" s="120" t="s">
        <v>63</v>
      </c>
      <c r="B62" s="121">
        <v>0.219</v>
      </c>
      <c r="C62" s="98">
        <v>0</v>
      </c>
      <c r="D62" s="122"/>
      <c r="E62" s="123">
        <f>C62+D62</f>
        <v>0</v>
      </c>
      <c r="F62" s="124">
        <f>ROUND(B62*C6,0)</f>
        <v>2120</v>
      </c>
      <c r="G62" s="125">
        <f>C62*F62</f>
        <v>0</v>
      </c>
      <c r="J62" s="108"/>
    </row>
    <row r="63" spans="1:10" ht="13.5" thickBot="1" x14ac:dyDescent="0.25">
      <c r="A63" s="126"/>
      <c r="B63" s="127"/>
      <c r="C63" s="128"/>
      <c r="D63" s="128"/>
      <c r="E63" s="129"/>
      <c r="F63" s="130"/>
      <c r="G63" s="131"/>
      <c r="J63" s="108"/>
    </row>
    <row r="64" spans="1:10" x14ac:dyDescent="0.2">
      <c r="A64" s="103" t="s">
        <v>64</v>
      </c>
      <c r="B64" s="69" t="s">
        <v>16</v>
      </c>
      <c r="C64" s="69" t="s">
        <v>19</v>
      </c>
      <c r="D64" s="69"/>
      <c r="E64" s="69" t="s">
        <v>13</v>
      </c>
      <c r="F64" s="36" t="s">
        <v>20</v>
      </c>
      <c r="G64" s="37" t="s">
        <v>21</v>
      </c>
      <c r="J64" s="108"/>
    </row>
    <row r="65" spans="1:10" ht="12.75" customHeight="1" x14ac:dyDescent="0.2">
      <c r="A65" s="49" t="s">
        <v>65</v>
      </c>
      <c r="B65" s="132">
        <v>6.3E-2</v>
      </c>
      <c r="C65" s="70">
        <v>0</v>
      </c>
      <c r="D65" s="45"/>
      <c r="E65" s="107"/>
      <c r="F65" s="73">
        <f t="shared" ref="F65:F68" si="9">$C$6*B65</f>
        <v>609.96600000000001</v>
      </c>
      <c r="G65" s="53">
        <f>C65*F65</f>
        <v>0</v>
      </c>
      <c r="J65" s="108"/>
    </row>
    <row r="66" spans="1:10" ht="12.75" customHeight="1" x14ac:dyDescent="0.2">
      <c r="A66" s="49" t="s">
        <v>66</v>
      </c>
      <c r="B66" s="132">
        <v>0.22700000000000001</v>
      </c>
      <c r="C66" s="70">
        <v>0</v>
      </c>
      <c r="D66" s="45"/>
      <c r="E66" s="107"/>
      <c r="F66" s="73">
        <f t="shared" si="9"/>
        <v>2197.8139999999999</v>
      </c>
      <c r="G66" s="53">
        <f>C66*F66</f>
        <v>0</v>
      </c>
      <c r="J66" s="108"/>
    </row>
    <row r="67" spans="1:10" ht="12.75" customHeight="1" x14ac:dyDescent="0.2">
      <c r="A67" s="49" t="s">
        <v>67</v>
      </c>
      <c r="B67" s="132">
        <v>0.49099999999999999</v>
      </c>
      <c r="C67" s="70">
        <v>0</v>
      </c>
      <c r="D67" s="45"/>
      <c r="E67" s="107"/>
      <c r="F67" s="73">
        <f t="shared" si="9"/>
        <v>4753.8620000000001</v>
      </c>
      <c r="G67" s="53">
        <f>C67*F67</f>
        <v>0</v>
      </c>
      <c r="J67" s="108"/>
    </row>
    <row r="68" spans="1:10" ht="12.75" customHeight="1" x14ac:dyDescent="0.2">
      <c r="A68" s="49" t="s">
        <v>68</v>
      </c>
      <c r="B68" s="132">
        <v>0.48899999999999999</v>
      </c>
      <c r="C68" s="70">
        <v>0</v>
      </c>
      <c r="D68" s="45"/>
      <c r="E68" s="107"/>
      <c r="F68" s="133">
        <f t="shared" si="9"/>
        <v>4734.4979999999996</v>
      </c>
      <c r="G68" s="53">
        <f>C68*F68</f>
        <v>0</v>
      </c>
      <c r="J68" s="108"/>
    </row>
    <row r="69" spans="1:10" ht="14.25" customHeight="1" thickBot="1" x14ac:dyDescent="0.3">
      <c r="A69" s="134" t="s">
        <v>69</v>
      </c>
      <c r="B69" s="135"/>
      <c r="C69" s="77">
        <f>SUM(C65:C68)</f>
        <v>0</v>
      </c>
      <c r="D69" s="77"/>
      <c r="E69" s="78"/>
      <c r="F69" s="79"/>
      <c r="G69" s="136">
        <f>SUM(G65:G68)</f>
        <v>0</v>
      </c>
      <c r="J69" s="108"/>
    </row>
    <row r="70" spans="1:10" ht="13.5" thickBot="1" x14ac:dyDescent="0.25">
      <c r="A70" s="137"/>
      <c r="B70" s="138"/>
      <c r="C70" s="139"/>
      <c r="D70" s="140"/>
      <c r="E70" s="141"/>
      <c r="F70" s="142"/>
      <c r="G70" s="143"/>
      <c r="J70" s="108"/>
    </row>
    <row r="71" spans="1:10" ht="13.5" thickBot="1" x14ac:dyDescent="0.25">
      <c r="A71" s="144" t="s">
        <v>70</v>
      </c>
      <c r="B71" s="145"/>
      <c r="C71" s="145"/>
      <c r="D71" s="145"/>
      <c r="E71" s="145"/>
      <c r="F71" s="145"/>
      <c r="G71" s="146">
        <f>G32+G40+G44+G47+G54+G57+G60+G62+G69</f>
        <v>4327854</v>
      </c>
      <c r="J71" s="108"/>
    </row>
    <row r="72" spans="1:10" ht="13.5" thickBot="1" x14ac:dyDescent="0.25">
      <c r="A72" s="126"/>
      <c r="B72" s="147"/>
      <c r="C72" s="27"/>
      <c r="D72" s="27"/>
      <c r="E72" s="148"/>
      <c r="F72" s="27"/>
      <c r="G72" s="28"/>
      <c r="J72" s="108"/>
    </row>
    <row r="73" spans="1:10" x14ac:dyDescent="0.2">
      <c r="A73" s="149" t="s">
        <v>71</v>
      </c>
      <c r="B73" s="150"/>
      <c r="C73" s="151"/>
      <c r="D73" s="151"/>
      <c r="E73" s="152"/>
      <c r="F73" s="151"/>
      <c r="G73" s="153"/>
      <c r="J73" s="108"/>
    </row>
    <row r="74" spans="1:10" x14ac:dyDescent="0.2">
      <c r="A74" s="49" t="s">
        <v>72</v>
      </c>
      <c r="B74" s="52"/>
      <c r="C74" s="45">
        <f>C32-C75</f>
        <v>400</v>
      </c>
      <c r="D74" s="52"/>
      <c r="E74" s="154">
        <f>C74+D74</f>
        <v>400</v>
      </c>
      <c r="F74" s="155">
        <f>+C7</f>
        <v>3124</v>
      </c>
      <c r="G74" s="156">
        <f>C74*F74</f>
        <v>1249600</v>
      </c>
      <c r="J74" s="108"/>
    </row>
    <row r="75" spans="1:10" x14ac:dyDescent="0.2">
      <c r="A75" s="49" t="s">
        <v>73</v>
      </c>
      <c r="B75" s="52"/>
      <c r="C75" s="45">
        <f>C60</f>
        <v>0</v>
      </c>
      <c r="D75" s="157"/>
      <c r="E75" s="154">
        <f>C75+D75</f>
        <v>0</v>
      </c>
      <c r="F75" s="155">
        <f>C8</f>
        <v>8395</v>
      </c>
      <c r="G75" s="156">
        <f>C8*E75</f>
        <v>0</v>
      </c>
      <c r="J75" s="108"/>
    </row>
    <row r="76" spans="1:10" ht="13.5" thickBot="1" x14ac:dyDescent="0.25">
      <c r="A76" s="192" t="s">
        <v>74</v>
      </c>
      <c r="B76" s="193"/>
      <c r="C76" s="193"/>
      <c r="D76" s="193"/>
      <c r="E76" s="193"/>
      <c r="F76" s="193"/>
      <c r="G76" s="188">
        <f>G74+G75</f>
        <v>1249600</v>
      </c>
      <c r="J76" s="108"/>
    </row>
    <row r="77" spans="1:10" ht="13.5" thickBot="1" x14ac:dyDescent="0.25">
      <c r="A77" s="158"/>
      <c r="B77" s="184"/>
      <c r="C77" s="184"/>
      <c r="D77" s="184"/>
      <c r="E77" s="184"/>
      <c r="F77" s="184"/>
      <c r="G77" s="159"/>
      <c r="J77" s="108"/>
    </row>
    <row r="78" spans="1:10" ht="16.5" thickBot="1" x14ac:dyDescent="0.3">
      <c r="A78" s="160"/>
      <c r="B78" s="161"/>
      <c r="C78" s="161"/>
      <c r="D78" s="161"/>
      <c r="E78" s="162"/>
      <c r="F78" s="163" t="s">
        <v>75</v>
      </c>
      <c r="G78" s="164">
        <f>SUM(G71+G76)</f>
        <v>5577454</v>
      </c>
      <c r="J78" s="108"/>
    </row>
    <row r="79" spans="1:10" x14ac:dyDescent="0.2">
      <c r="J79" s="108"/>
    </row>
    <row r="80" spans="1:10" x14ac:dyDescent="0.2">
      <c r="F80" s="8" t="s">
        <v>76</v>
      </c>
      <c r="G80" s="165" t="e">
        <f>+#REF!</f>
        <v>#REF!</v>
      </c>
    </row>
    <row r="81" spans="6:7" x14ac:dyDescent="0.2">
      <c r="F81" s="8" t="s">
        <v>77</v>
      </c>
      <c r="G81" s="166" t="e">
        <f>+#REF!</f>
        <v>#REF!</v>
      </c>
    </row>
    <row r="82" spans="6:7" x14ac:dyDescent="0.2">
      <c r="F82" s="8" t="s">
        <v>78</v>
      </c>
      <c r="G82" s="165">
        <v>0</v>
      </c>
    </row>
    <row r="83" spans="6:7" x14ac:dyDescent="0.2">
      <c r="F83" s="8" t="s">
        <v>79</v>
      </c>
      <c r="G83" s="165">
        <v>0</v>
      </c>
    </row>
    <row r="84" spans="6:7" x14ac:dyDescent="0.2">
      <c r="F84" s="8" t="s">
        <v>80</v>
      </c>
      <c r="G84" s="167" t="e">
        <f>SUM(G80:G83)</f>
        <v>#REF!</v>
      </c>
    </row>
  </sheetData>
  <mergeCells count="9">
    <mergeCell ref="D7:G7"/>
    <mergeCell ref="A76:F76"/>
    <mergeCell ref="A1:G1"/>
    <mergeCell ref="A2:G2"/>
    <mergeCell ref="A3:G3"/>
    <mergeCell ref="A4:G4"/>
    <mergeCell ref="A5:G5"/>
    <mergeCell ref="A6:B6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pane xSplit="5" ySplit="2" topLeftCell="F3" activePane="bottomRight" state="frozen"/>
      <selection activeCell="M8" sqref="M8"/>
      <selection pane="topRight" activeCell="M8" sqref="M8"/>
      <selection pane="bottomLeft" activeCell="M8" sqref="M8"/>
      <selection pane="bottomRight" activeCell="F5" sqref="F5:K5"/>
    </sheetView>
  </sheetViews>
  <sheetFormatPr defaultRowHeight="12.75" x14ac:dyDescent="0.2"/>
  <cols>
    <col min="1" max="1" width="1.140625" style="5" customWidth="1"/>
    <col min="2" max="2" width="1" style="5" customWidth="1"/>
    <col min="3" max="3" width="0.5703125" style="5" customWidth="1"/>
    <col min="4" max="4" width="1.7109375" style="5" customWidth="1"/>
    <col min="5" max="5" width="30.42578125" style="5" customWidth="1"/>
    <col min="6" max="11" width="12.5703125" style="174" customWidth="1"/>
  </cols>
  <sheetData>
    <row r="1" spans="1:12" ht="13.5" thickBot="1" x14ac:dyDescent="0.25">
      <c r="A1" s="2"/>
      <c r="B1" s="2"/>
      <c r="C1" s="2"/>
      <c r="D1" s="2"/>
      <c r="E1" s="2" t="s">
        <v>81</v>
      </c>
      <c r="F1" s="168" t="s">
        <v>82</v>
      </c>
      <c r="G1" s="168" t="s">
        <v>83</v>
      </c>
      <c r="H1" s="168" t="s">
        <v>84</v>
      </c>
      <c r="I1" s="168" t="s">
        <v>85</v>
      </c>
      <c r="J1" s="168" t="s">
        <v>86</v>
      </c>
      <c r="K1" s="168" t="s">
        <v>87</v>
      </c>
      <c r="L1" s="180" t="s">
        <v>88</v>
      </c>
    </row>
    <row r="2" spans="1:12" s="1" customFormat="1" ht="14.25" thickTop="1" thickBot="1" x14ac:dyDescent="0.25">
      <c r="A2" s="4"/>
      <c r="B2" s="4"/>
      <c r="C2" s="4"/>
      <c r="D2" s="4"/>
      <c r="E2" s="4"/>
      <c r="F2" s="169" t="s">
        <v>89</v>
      </c>
      <c r="G2" s="169" t="s">
        <v>90</v>
      </c>
      <c r="H2" s="169" t="s">
        <v>91</v>
      </c>
      <c r="I2" s="169" t="s">
        <v>92</v>
      </c>
      <c r="J2" s="169" t="s">
        <v>93</v>
      </c>
      <c r="K2" s="169" t="s">
        <v>94</v>
      </c>
    </row>
    <row r="3" spans="1:12" s="1" customFormat="1" ht="13.5" thickTop="1" x14ac:dyDescent="0.2">
      <c r="A3" s="4"/>
      <c r="B3" s="4"/>
      <c r="C3" s="4"/>
      <c r="D3" s="4"/>
      <c r="E3" s="4" t="s">
        <v>95</v>
      </c>
      <c r="F3" s="178">
        <v>25000</v>
      </c>
      <c r="G3" s="178">
        <v>30000</v>
      </c>
      <c r="H3" s="178">
        <v>35000</v>
      </c>
      <c r="I3" s="178">
        <v>40000</v>
      </c>
      <c r="J3" s="178">
        <v>45000</v>
      </c>
      <c r="K3" s="178">
        <v>50000</v>
      </c>
    </row>
    <row r="4" spans="1:12" x14ac:dyDescent="0.2">
      <c r="B4" s="2"/>
      <c r="C4" s="2"/>
      <c r="D4" s="2"/>
      <c r="E4" s="2" t="s">
        <v>19</v>
      </c>
      <c r="F4" s="170">
        <f>PPASY1918!C32</f>
        <v>140</v>
      </c>
      <c r="G4" s="170">
        <f>'PPA SY2019'!C32</f>
        <v>192</v>
      </c>
      <c r="H4" s="170">
        <f>'PPA SY2120'!C32</f>
        <v>244</v>
      </c>
      <c r="I4" s="170">
        <f>'PPA SY22221'!C32</f>
        <v>296</v>
      </c>
      <c r="J4" s="170">
        <f>PPASY2322!C32</f>
        <v>348</v>
      </c>
      <c r="K4" s="170">
        <f>PPASY2423!C32</f>
        <v>400</v>
      </c>
    </row>
    <row r="5" spans="1:12" x14ac:dyDescent="0.2">
      <c r="A5" s="2" t="s">
        <v>96</v>
      </c>
      <c r="B5" s="2"/>
      <c r="C5" s="2"/>
      <c r="D5" s="2"/>
      <c r="E5" s="2"/>
      <c r="F5" s="170"/>
      <c r="G5" s="170"/>
      <c r="H5" s="170"/>
      <c r="I5" s="170"/>
      <c r="J5" s="170"/>
      <c r="K5" s="170"/>
    </row>
    <row r="6" spans="1:12" x14ac:dyDescent="0.2">
      <c r="A6" s="2"/>
      <c r="B6" s="2"/>
      <c r="C6" s="2"/>
      <c r="D6" s="2" t="s">
        <v>97</v>
      </c>
      <c r="E6" s="2"/>
      <c r="F6" s="170">
        <f>PPASY1918!G71</f>
        <v>1779551.6</v>
      </c>
      <c r="G6" s="170">
        <f>'PPA SY2019'!G71</f>
        <v>2289212.08</v>
      </c>
      <c r="H6" s="170">
        <f>'PPA SY2120'!G71</f>
        <v>2798872.56</v>
      </c>
      <c r="I6" s="170">
        <f>'PPA SY22221'!G71</f>
        <v>3308533.04</v>
      </c>
      <c r="J6" s="170">
        <f>PPASY2322!G71</f>
        <v>3818193.52</v>
      </c>
      <c r="K6" s="170">
        <f>PPASY2423!G71</f>
        <v>4327854</v>
      </c>
    </row>
    <row r="7" spans="1:12" ht="13.5" thickBot="1" x14ac:dyDescent="0.25">
      <c r="A7" s="2"/>
      <c r="B7" s="2"/>
      <c r="C7" s="2"/>
      <c r="D7" s="2" t="s">
        <v>98</v>
      </c>
      <c r="E7" s="2"/>
      <c r="F7" s="171">
        <f>PPASY1918!G76</f>
        <v>437360</v>
      </c>
      <c r="G7" s="171">
        <f>'PPA SY2019'!G76</f>
        <v>599808</v>
      </c>
      <c r="H7" s="171">
        <f>'PPA SY2120'!G76</f>
        <v>762256</v>
      </c>
      <c r="I7" s="171">
        <f>'PPA SY22221'!G76</f>
        <v>924704</v>
      </c>
      <c r="J7" s="171">
        <f>PPASY2322!G76</f>
        <v>1087152</v>
      </c>
      <c r="K7" s="171">
        <f>PPASY2423!G76</f>
        <v>1249600</v>
      </c>
    </row>
    <row r="8" spans="1:12" x14ac:dyDescent="0.2">
      <c r="A8" s="2"/>
      <c r="B8" s="2"/>
      <c r="C8" s="2" t="s">
        <v>99</v>
      </c>
      <c r="D8" s="2"/>
      <c r="E8" s="2"/>
      <c r="F8" s="170">
        <f t="shared" ref="F8:K8" si="0">ROUND(SUM(F6:F7),5)</f>
        <v>2216911.6</v>
      </c>
      <c r="G8" s="170">
        <f t="shared" si="0"/>
        <v>2889020.08</v>
      </c>
      <c r="H8" s="170">
        <f t="shared" si="0"/>
        <v>3561128.56</v>
      </c>
      <c r="I8" s="170">
        <f t="shared" si="0"/>
        <v>4233237.04</v>
      </c>
      <c r="J8" s="170">
        <f t="shared" si="0"/>
        <v>4905345.5199999996</v>
      </c>
      <c r="K8" s="170">
        <f t="shared" si="0"/>
        <v>5577454</v>
      </c>
    </row>
    <row r="9" spans="1:12" x14ac:dyDescent="0.2">
      <c r="A9" s="2"/>
      <c r="B9" s="2"/>
      <c r="C9" s="2" t="s">
        <v>100</v>
      </c>
      <c r="D9" s="2"/>
      <c r="E9" s="2"/>
      <c r="F9" s="170">
        <f>F4*600</f>
        <v>84000</v>
      </c>
      <c r="G9" s="170">
        <f t="shared" ref="G9:K9" si="1">G4*600</f>
        <v>115200</v>
      </c>
      <c r="H9" s="170">
        <f t="shared" si="1"/>
        <v>146400</v>
      </c>
      <c r="I9" s="170">
        <f t="shared" si="1"/>
        <v>177600</v>
      </c>
      <c r="J9" s="170">
        <f t="shared" si="1"/>
        <v>208800</v>
      </c>
      <c r="K9" s="170">
        <f t="shared" si="1"/>
        <v>240000</v>
      </c>
      <c r="L9" s="181" t="s">
        <v>101</v>
      </c>
    </row>
    <row r="10" spans="1:12" x14ac:dyDescent="0.2">
      <c r="A10" s="2"/>
      <c r="B10" s="2" t="s">
        <v>102</v>
      </c>
      <c r="C10" s="2"/>
      <c r="D10" s="2"/>
      <c r="E10" s="2"/>
      <c r="F10" s="170">
        <f>F4*700</f>
        <v>98000</v>
      </c>
      <c r="G10" s="170">
        <f t="shared" ref="G10:K10" si="2">G4*700</f>
        <v>134400</v>
      </c>
      <c r="H10" s="170">
        <f t="shared" si="2"/>
        <v>170800</v>
      </c>
      <c r="I10" s="170">
        <f t="shared" si="2"/>
        <v>207200</v>
      </c>
      <c r="J10" s="170">
        <f t="shared" si="2"/>
        <v>243600</v>
      </c>
      <c r="K10" s="170">
        <f t="shared" si="2"/>
        <v>280000</v>
      </c>
      <c r="L10" s="181" t="s">
        <v>103</v>
      </c>
    </row>
    <row r="11" spans="1:12" x14ac:dyDescent="0.2">
      <c r="A11" s="2"/>
      <c r="B11" s="2" t="s">
        <v>104</v>
      </c>
      <c r="C11" s="2"/>
      <c r="D11" s="2"/>
      <c r="E11" s="2"/>
      <c r="F11" s="170">
        <f>F4*100</f>
        <v>14000</v>
      </c>
      <c r="G11" s="170">
        <f t="shared" ref="G11:K11" si="3">G4*100</f>
        <v>19200</v>
      </c>
      <c r="H11" s="170">
        <f t="shared" si="3"/>
        <v>24400</v>
      </c>
      <c r="I11" s="170">
        <f t="shared" si="3"/>
        <v>29600</v>
      </c>
      <c r="J11" s="170">
        <f t="shared" si="3"/>
        <v>34800</v>
      </c>
      <c r="K11" s="170">
        <f t="shared" si="3"/>
        <v>40000</v>
      </c>
      <c r="L11" t="s">
        <v>105</v>
      </c>
    </row>
    <row r="12" spans="1:12" x14ac:dyDescent="0.2">
      <c r="A12" s="2"/>
      <c r="B12" s="2" t="s">
        <v>106</v>
      </c>
      <c r="C12" s="2"/>
      <c r="D12" s="2"/>
      <c r="E12" s="2"/>
      <c r="F12" s="170"/>
      <c r="G12" s="170"/>
      <c r="H12" s="170"/>
      <c r="I12" s="170"/>
      <c r="J12" s="170"/>
      <c r="K12" s="170"/>
      <c r="L12" s="181" t="s">
        <v>107</v>
      </c>
    </row>
    <row r="13" spans="1:12" x14ac:dyDescent="0.2">
      <c r="A13" s="2"/>
      <c r="B13" s="2" t="s">
        <v>108</v>
      </c>
      <c r="C13" s="2"/>
      <c r="D13" s="2"/>
      <c r="E13" s="2"/>
      <c r="F13" s="170">
        <f t="shared" ref="F13:K13" si="4">F4*25</f>
        <v>3500</v>
      </c>
      <c r="G13" s="170">
        <f t="shared" si="4"/>
        <v>4800</v>
      </c>
      <c r="H13" s="170">
        <f t="shared" si="4"/>
        <v>6100</v>
      </c>
      <c r="I13" s="170">
        <f t="shared" si="4"/>
        <v>7400</v>
      </c>
      <c r="J13" s="170">
        <f t="shared" si="4"/>
        <v>8700</v>
      </c>
      <c r="K13" s="170">
        <f t="shared" si="4"/>
        <v>10000</v>
      </c>
      <c r="L13" t="s">
        <v>109</v>
      </c>
    </row>
    <row r="14" spans="1:12" x14ac:dyDescent="0.2">
      <c r="A14" s="2"/>
      <c r="B14" s="2" t="s">
        <v>110</v>
      </c>
      <c r="C14" s="2"/>
      <c r="D14" s="2"/>
      <c r="E14" s="2"/>
      <c r="F14" s="170">
        <f t="shared" ref="F14:K14" si="5">710*F4</f>
        <v>99400</v>
      </c>
      <c r="G14" s="170">
        <f t="shared" si="5"/>
        <v>136320</v>
      </c>
      <c r="H14" s="170">
        <f t="shared" si="5"/>
        <v>173240</v>
      </c>
      <c r="I14" s="170">
        <f t="shared" si="5"/>
        <v>210160</v>
      </c>
      <c r="J14" s="170">
        <f t="shared" si="5"/>
        <v>247080</v>
      </c>
      <c r="K14" s="170">
        <f t="shared" si="5"/>
        <v>284000</v>
      </c>
      <c r="L14" t="s">
        <v>111</v>
      </c>
    </row>
    <row r="15" spans="1:12" x14ac:dyDescent="0.2">
      <c r="A15" s="2"/>
      <c r="B15" s="2"/>
      <c r="C15" s="2"/>
      <c r="D15" s="2"/>
      <c r="E15" s="2" t="s">
        <v>112</v>
      </c>
      <c r="F15" s="170"/>
      <c r="G15" s="170"/>
      <c r="H15" s="170"/>
      <c r="I15" s="170"/>
      <c r="J15" s="170"/>
      <c r="K15" s="170"/>
    </row>
    <row r="16" spans="1:12" x14ac:dyDescent="0.2">
      <c r="A16" s="2"/>
      <c r="B16" s="2"/>
      <c r="C16" s="2"/>
      <c r="D16" s="2"/>
      <c r="E16" s="2" t="s">
        <v>113</v>
      </c>
      <c r="F16" s="170">
        <f t="shared" ref="F16:J16" si="6">F4*100</f>
        <v>14000</v>
      </c>
      <c r="G16" s="170">
        <f t="shared" si="6"/>
        <v>19200</v>
      </c>
      <c r="H16" s="170">
        <f t="shared" si="6"/>
        <v>24400</v>
      </c>
      <c r="I16" s="170">
        <f t="shared" si="6"/>
        <v>29600</v>
      </c>
      <c r="J16" s="170">
        <f t="shared" si="6"/>
        <v>34800</v>
      </c>
      <c r="K16" s="170">
        <f>K4*100</f>
        <v>40000</v>
      </c>
      <c r="L16" t="s">
        <v>105</v>
      </c>
    </row>
    <row r="17" spans="1:12" x14ac:dyDescent="0.2">
      <c r="A17" s="2"/>
      <c r="B17" s="2"/>
      <c r="C17" s="2"/>
      <c r="D17" s="2"/>
      <c r="E17" s="2" t="s">
        <v>114</v>
      </c>
      <c r="F17" s="170">
        <f t="shared" ref="F17:J17" si="7">F4*50</f>
        <v>7000</v>
      </c>
      <c r="G17" s="170">
        <f t="shared" si="7"/>
        <v>9600</v>
      </c>
      <c r="H17" s="170">
        <f t="shared" si="7"/>
        <v>12200</v>
      </c>
      <c r="I17" s="170">
        <f t="shared" si="7"/>
        <v>14800</v>
      </c>
      <c r="J17" s="170">
        <f t="shared" si="7"/>
        <v>17400</v>
      </c>
      <c r="K17" s="170">
        <f>K4*50</f>
        <v>20000</v>
      </c>
      <c r="L17" s="181" t="s">
        <v>115</v>
      </c>
    </row>
    <row r="18" spans="1:12" x14ac:dyDescent="0.2">
      <c r="A18" s="2"/>
      <c r="B18" s="2" t="s">
        <v>116</v>
      </c>
      <c r="C18" s="2"/>
      <c r="D18" s="2"/>
      <c r="E18" s="2"/>
      <c r="F18" s="172">
        <f t="shared" ref="F18:K18" si="8">695*F4</f>
        <v>97300</v>
      </c>
      <c r="G18" s="172">
        <f t="shared" si="8"/>
        <v>133440</v>
      </c>
      <c r="H18" s="172">
        <f t="shared" si="8"/>
        <v>169580</v>
      </c>
      <c r="I18" s="172">
        <f t="shared" si="8"/>
        <v>205720</v>
      </c>
      <c r="J18" s="172">
        <f t="shared" si="8"/>
        <v>241860</v>
      </c>
      <c r="K18" s="172">
        <f t="shared" si="8"/>
        <v>278000</v>
      </c>
      <c r="L18" t="s">
        <v>117</v>
      </c>
    </row>
    <row r="19" spans="1:12" ht="13.5" thickBot="1" x14ac:dyDescent="0.25">
      <c r="B19" s="2"/>
      <c r="C19" s="2" t="s">
        <v>118</v>
      </c>
      <c r="D19" s="2"/>
      <c r="E19" s="2"/>
      <c r="F19" s="189">
        <f>SUM(F8:F18)</f>
        <v>2634111.6</v>
      </c>
      <c r="G19" s="189">
        <f t="shared" ref="G19:K19" si="9">SUM(G8:G18)</f>
        <v>3461180.08</v>
      </c>
      <c r="H19" s="189">
        <f t="shared" si="9"/>
        <v>4288248.5600000005</v>
      </c>
      <c r="I19" s="189">
        <f t="shared" si="9"/>
        <v>5115317.04</v>
      </c>
      <c r="J19" s="189">
        <f t="shared" si="9"/>
        <v>5942385.5199999996</v>
      </c>
      <c r="K19" s="189">
        <f t="shared" si="9"/>
        <v>6769454</v>
      </c>
    </row>
    <row r="20" spans="1:12" x14ac:dyDescent="0.2">
      <c r="A20" s="2"/>
      <c r="B20" s="2" t="s">
        <v>119</v>
      </c>
      <c r="C20" s="2"/>
      <c r="D20" s="2"/>
      <c r="E20" s="2"/>
      <c r="F20" s="170">
        <f t="shared" ref="F20:K20" si="10">F19</f>
        <v>2634111.6</v>
      </c>
      <c r="G20" s="170">
        <f t="shared" si="10"/>
        <v>3461180.08</v>
      </c>
      <c r="H20" s="170">
        <f t="shared" si="10"/>
        <v>4288248.5600000005</v>
      </c>
      <c r="I20" s="170">
        <f t="shared" si="10"/>
        <v>5115317.04</v>
      </c>
      <c r="J20" s="170">
        <f t="shared" si="10"/>
        <v>5942385.5199999996</v>
      </c>
      <c r="K20" s="170">
        <f t="shared" si="10"/>
        <v>6769454</v>
      </c>
    </row>
    <row r="21" spans="1:12" x14ac:dyDescent="0.2">
      <c r="A21" s="2"/>
      <c r="B21" s="2" t="s">
        <v>120</v>
      </c>
      <c r="C21" s="2"/>
      <c r="D21" s="2"/>
      <c r="E21" s="2"/>
      <c r="F21" s="185"/>
      <c r="G21" s="185"/>
      <c r="H21" s="185"/>
      <c r="I21" s="185"/>
      <c r="J21" s="185"/>
      <c r="K21" s="185"/>
    </row>
    <row r="22" spans="1:12" x14ac:dyDescent="0.2">
      <c r="A22" s="3"/>
      <c r="B22" s="3"/>
      <c r="C22" s="3"/>
      <c r="D22" s="3"/>
      <c r="E22" s="2" t="s">
        <v>121</v>
      </c>
      <c r="F22" s="175">
        <f>'Salary Payroll Budget'!C61</f>
        <v>925800</v>
      </c>
      <c r="G22" s="175">
        <f>'Salary Payroll Budget'!D61</f>
        <v>1259220</v>
      </c>
      <c r="H22" s="175">
        <f>'Salary Payroll Budget'!E61</f>
        <v>1631973</v>
      </c>
      <c r="I22" s="175">
        <f>'Salary Payroll Budget'!F61</f>
        <v>1934488.99</v>
      </c>
      <c r="J22" s="175">
        <f>'Salary Payroll Budget'!G61</f>
        <v>2356160.8596999999</v>
      </c>
      <c r="K22" s="175">
        <f>'Salary Payroll Budget'!H61</f>
        <v>2679813.2854909999</v>
      </c>
    </row>
    <row r="23" spans="1:12" x14ac:dyDescent="0.2">
      <c r="A23" s="2"/>
      <c r="B23" s="2"/>
      <c r="C23" s="2" t="s">
        <v>122</v>
      </c>
      <c r="D23" s="2"/>
      <c r="E23" s="2"/>
      <c r="F23" s="170">
        <f>F22*0.2</f>
        <v>185160</v>
      </c>
      <c r="G23" s="170">
        <f t="shared" ref="G23:K23" si="11">G22*0.2</f>
        <v>251844</v>
      </c>
      <c r="H23" s="170">
        <f t="shared" si="11"/>
        <v>326394.60000000003</v>
      </c>
      <c r="I23" s="170">
        <f t="shared" si="11"/>
        <v>386897.79800000001</v>
      </c>
      <c r="J23" s="170">
        <f t="shared" si="11"/>
        <v>471232.17194000003</v>
      </c>
      <c r="K23" s="170">
        <f t="shared" si="11"/>
        <v>535962.65709820006</v>
      </c>
      <c r="L23" t="s">
        <v>123</v>
      </c>
    </row>
    <row r="24" spans="1:12" x14ac:dyDescent="0.2">
      <c r="A24" s="2"/>
      <c r="B24" s="2"/>
      <c r="C24" s="2" t="s">
        <v>124</v>
      </c>
      <c r="D24" s="2"/>
      <c r="E24" s="2"/>
      <c r="F24" s="170">
        <f>F22*0.1</f>
        <v>92580</v>
      </c>
      <c r="G24" s="170">
        <f t="shared" ref="G24:K24" si="12">G22*0.1</f>
        <v>125922</v>
      </c>
      <c r="H24" s="170">
        <f t="shared" si="12"/>
        <v>163197.30000000002</v>
      </c>
      <c r="I24" s="170">
        <f t="shared" si="12"/>
        <v>193448.899</v>
      </c>
      <c r="J24" s="170">
        <f t="shared" si="12"/>
        <v>235616.08597000001</v>
      </c>
      <c r="K24" s="170">
        <f t="shared" si="12"/>
        <v>267981.32854910003</v>
      </c>
      <c r="L24" t="s">
        <v>125</v>
      </c>
    </row>
    <row r="25" spans="1:12" x14ac:dyDescent="0.2">
      <c r="A25" s="2"/>
      <c r="B25" s="2" t="s">
        <v>126</v>
      </c>
      <c r="C25" s="2"/>
      <c r="D25" s="2"/>
      <c r="E25" s="2"/>
      <c r="F25" s="170">
        <f>SUM(F22:F24)</f>
        <v>1203540</v>
      </c>
      <c r="G25" s="170">
        <f t="shared" ref="G25:K25" si="13">SUM(G22:G24)</f>
        <v>1636986</v>
      </c>
      <c r="H25" s="170">
        <f t="shared" si="13"/>
        <v>2121564.9</v>
      </c>
      <c r="I25" s="170">
        <f t="shared" si="13"/>
        <v>2514835.6870000004</v>
      </c>
      <c r="J25" s="170">
        <f t="shared" si="13"/>
        <v>3063009.1176099996</v>
      </c>
      <c r="K25" s="170">
        <f t="shared" si="13"/>
        <v>3483757.2711383002</v>
      </c>
    </row>
    <row r="26" spans="1:12" x14ac:dyDescent="0.2">
      <c r="A26" s="2"/>
      <c r="B26" s="2" t="s">
        <v>127</v>
      </c>
      <c r="C26" s="2"/>
      <c r="D26" s="2"/>
      <c r="E26" s="2"/>
      <c r="F26" s="170">
        <f t="shared" ref="F26:K26" si="14">F4*2000</f>
        <v>280000</v>
      </c>
      <c r="G26" s="170">
        <f t="shared" si="14"/>
        <v>384000</v>
      </c>
      <c r="H26" s="170">
        <f t="shared" si="14"/>
        <v>488000</v>
      </c>
      <c r="I26" s="170">
        <f t="shared" si="14"/>
        <v>592000</v>
      </c>
      <c r="J26" s="170">
        <f t="shared" si="14"/>
        <v>696000</v>
      </c>
      <c r="K26" s="170">
        <f t="shared" si="14"/>
        <v>800000</v>
      </c>
      <c r="L26" t="s">
        <v>128</v>
      </c>
    </row>
    <row r="27" spans="1:12" x14ac:dyDescent="0.2">
      <c r="A27" s="2"/>
      <c r="B27" s="2" t="s">
        <v>129</v>
      </c>
      <c r="C27" s="2"/>
      <c r="D27" s="2"/>
      <c r="E27" s="2"/>
      <c r="F27" s="170"/>
      <c r="G27" s="170"/>
      <c r="H27" s="170"/>
      <c r="I27" s="170"/>
      <c r="J27" s="170"/>
      <c r="K27" s="170"/>
    </row>
    <row r="28" spans="1:12" x14ac:dyDescent="0.2">
      <c r="A28" s="2"/>
      <c r="B28" s="2"/>
      <c r="C28" s="2" t="s">
        <v>130</v>
      </c>
      <c r="D28" s="2"/>
      <c r="E28" s="2"/>
      <c r="F28" s="170">
        <f t="shared" ref="F28:K28" si="15">F3*20</f>
        <v>500000</v>
      </c>
      <c r="G28" s="170">
        <f t="shared" si="15"/>
        <v>600000</v>
      </c>
      <c r="H28" s="170">
        <f t="shared" si="15"/>
        <v>700000</v>
      </c>
      <c r="I28" s="170">
        <f t="shared" si="15"/>
        <v>800000</v>
      </c>
      <c r="J28" s="170">
        <f t="shared" si="15"/>
        <v>900000</v>
      </c>
      <c r="K28" s="170">
        <f t="shared" si="15"/>
        <v>1000000</v>
      </c>
      <c r="L28" t="s">
        <v>131</v>
      </c>
    </row>
    <row r="29" spans="1:12" x14ac:dyDescent="0.2">
      <c r="A29" s="2"/>
      <c r="B29" s="2"/>
      <c r="C29" s="2" t="s">
        <v>132</v>
      </c>
      <c r="D29" s="2"/>
      <c r="E29" s="2"/>
      <c r="F29" s="170">
        <f t="shared" ref="F29:K29" si="16">F3*2.5</f>
        <v>62500</v>
      </c>
      <c r="G29" s="170">
        <f t="shared" si="16"/>
        <v>75000</v>
      </c>
      <c r="H29" s="170">
        <f t="shared" si="16"/>
        <v>87500</v>
      </c>
      <c r="I29" s="170">
        <f t="shared" si="16"/>
        <v>100000</v>
      </c>
      <c r="J29" s="170">
        <f t="shared" si="16"/>
        <v>112500</v>
      </c>
      <c r="K29" s="170">
        <f t="shared" si="16"/>
        <v>125000</v>
      </c>
      <c r="L29" t="s">
        <v>133</v>
      </c>
    </row>
    <row r="30" spans="1:12" x14ac:dyDescent="0.2">
      <c r="A30" s="2"/>
      <c r="B30" s="2"/>
      <c r="C30" s="2" t="s">
        <v>134</v>
      </c>
      <c r="D30" s="2"/>
      <c r="E30" s="2"/>
      <c r="F30" s="170">
        <f t="shared" ref="F30:K30" si="17">F3*3</f>
        <v>75000</v>
      </c>
      <c r="G30" s="170">
        <f t="shared" si="17"/>
        <v>90000</v>
      </c>
      <c r="H30" s="170">
        <f t="shared" si="17"/>
        <v>105000</v>
      </c>
      <c r="I30" s="170">
        <f t="shared" si="17"/>
        <v>120000</v>
      </c>
      <c r="J30" s="170">
        <f t="shared" si="17"/>
        <v>135000</v>
      </c>
      <c r="K30" s="170">
        <f t="shared" si="17"/>
        <v>150000</v>
      </c>
      <c r="L30" t="s">
        <v>135</v>
      </c>
    </row>
    <row r="31" spans="1:12" x14ac:dyDescent="0.2">
      <c r="A31" s="2"/>
      <c r="B31" s="2" t="s">
        <v>136</v>
      </c>
      <c r="C31" s="2"/>
      <c r="D31" s="2"/>
      <c r="E31" s="2"/>
      <c r="F31" s="170">
        <f>SUM(F28:F30)</f>
        <v>637500</v>
      </c>
      <c r="G31" s="170">
        <f t="shared" ref="G31:K31" si="18">SUM(G28:G30)</f>
        <v>765000</v>
      </c>
      <c r="H31" s="170">
        <f t="shared" si="18"/>
        <v>892500</v>
      </c>
      <c r="I31" s="170">
        <f t="shared" si="18"/>
        <v>1020000</v>
      </c>
      <c r="J31" s="170">
        <f t="shared" si="18"/>
        <v>1147500</v>
      </c>
      <c r="K31" s="170">
        <f t="shared" si="18"/>
        <v>1275000</v>
      </c>
    </row>
    <row r="32" spans="1:12" x14ac:dyDescent="0.2">
      <c r="A32" s="2"/>
      <c r="B32" s="2" t="s">
        <v>137</v>
      </c>
      <c r="C32" s="2"/>
      <c r="D32" s="2"/>
      <c r="E32" s="2"/>
      <c r="F32" s="170">
        <f t="shared" ref="F32:K32" si="19">800*F4</f>
        <v>112000</v>
      </c>
      <c r="G32" s="170">
        <f t="shared" si="19"/>
        <v>153600</v>
      </c>
      <c r="H32" s="170">
        <f t="shared" si="19"/>
        <v>195200</v>
      </c>
      <c r="I32" s="170">
        <f t="shared" si="19"/>
        <v>236800</v>
      </c>
      <c r="J32" s="170">
        <f t="shared" si="19"/>
        <v>278400</v>
      </c>
      <c r="K32" s="170">
        <f t="shared" si="19"/>
        <v>320000</v>
      </c>
      <c r="L32" t="s">
        <v>138</v>
      </c>
    </row>
    <row r="33" spans="1:13" x14ac:dyDescent="0.2">
      <c r="A33" s="2"/>
      <c r="B33" s="2" t="s">
        <v>139</v>
      </c>
      <c r="C33" s="2"/>
      <c r="D33" s="2"/>
      <c r="E33" s="2"/>
      <c r="F33" s="170"/>
      <c r="G33" s="170"/>
      <c r="H33" s="170"/>
      <c r="I33" s="170"/>
      <c r="J33" s="170"/>
      <c r="K33" s="170"/>
    </row>
    <row r="34" spans="1:13" x14ac:dyDescent="0.2">
      <c r="A34" s="2"/>
      <c r="B34" s="2"/>
      <c r="C34" s="2" t="s">
        <v>140</v>
      </c>
      <c r="D34" s="2"/>
      <c r="E34" s="2"/>
      <c r="F34" s="170">
        <f t="shared" ref="F34:K34" si="20">60*F4</f>
        <v>8400</v>
      </c>
      <c r="G34" s="170">
        <f t="shared" si="20"/>
        <v>11520</v>
      </c>
      <c r="H34" s="170">
        <f t="shared" si="20"/>
        <v>14640</v>
      </c>
      <c r="I34" s="170">
        <f t="shared" si="20"/>
        <v>17760</v>
      </c>
      <c r="J34" s="170">
        <f t="shared" si="20"/>
        <v>20880</v>
      </c>
      <c r="K34" s="170">
        <f t="shared" si="20"/>
        <v>24000</v>
      </c>
      <c r="L34" t="s">
        <v>141</v>
      </c>
    </row>
    <row r="35" spans="1:13" x14ac:dyDescent="0.2">
      <c r="A35" s="2"/>
      <c r="B35" s="2"/>
      <c r="C35" s="2"/>
      <c r="D35" s="2"/>
      <c r="E35" s="2" t="s">
        <v>142</v>
      </c>
      <c r="F35" s="2"/>
      <c r="G35" s="170"/>
      <c r="H35" s="170"/>
      <c r="I35" s="170"/>
      <c r="J35" s="170"/>
      <c r="K35" s="170"/>
    </row>
    <row r="36" spans="1:13" x14ac:dyDescent="0.2">
      <c r="A36" s="2"/>
      <c r="B36" s="2"/>
      <c r="C36" s="2" t="s">
        <v>143</v>
      </c>
      <c r="D36" s="2"/>
      <c r="E36" s="2"/>
      <c r="F36" s="172">
        <f t="shared" ref="F36:K36" si="21">F4*40</f>
        <v>5600</v>
      </c>
      <c r="G36" s="172">
        <f t="shared" si="21"/>
        <v>7680</v>
      </c>
      <c r="H36" s="172">
        <f t="shared" si="21"/>
        <v>9760</v>
      </c>
      <c r="I36" s="172">
        <f t="shared" si="21"/>
        <v>11840</v>
      </c>
      <c r="J36" s="172">
        <f t="shared" si="21"/>
        <v>13920</v>
      </c>
      <c r="K36" s="172">
        <f t="shared" si="21"/>
        <v>16000</v>
      </c>
      <c r="L36" t="s">
        <v>144</v>
      </c>
    </row>
    <row r="37" spans="1:13" x14ac:dyDescent="0.2">
      <c r="A37" s="2"/>
      <c r="B37" s="2"/>
      <c r="C37" s="2" t="s">
        <v>145</v>
      </c>
      <c r="D37" s="2"/>
      <c r="E37" s="2"/>
      <c r="F37" s="170">
        <f t="shared" ref="F37:K37" si="22">F4*215</f>
        <v>30100</v>
      </c>
      <c r="G37" s="170">
        <f t="shared" si="22"/>
        <v>41280</v>
      </c>
      <c r="H37" s="170">
        <f t="shared" si="22"/>
        <v>52460</v>
      </c>
      <c r="I37" s="170">
        <f t="shared" si="22"/>
        <v>63640</v>
      </c>
      <c r="J37" s="170">
        <f t="shared" si="22"/>
        <v>74820</v>
      </c>
      <c r="K37" s="170">
        <f t="shared" si="22"/>
        <v>86000</v>
      </c>
      <c r="L37" t="s">
        <v>146</v>
      </c>
    </row>
    <row r="38" spans="1:13" x14ac:dyDescent="0.2">
      <c r="A38" s="2"/>
      <c r="B38" s="2"/>
      <c r="C38" s="2" t="s">
        <v>147</v>
      </c>
      <c r="D38" s="2"/>
      <c r="E38" s="2"/>
      <c r="F38" s="170">
        <f t="shared" ref="F38:K38" si="23">F4*45</f>
        <v>6300</v>
      </c>
      <c r="G38" s="170">
        <f t="shared" si="23"/>
        <v>8640</v>
      </c>
      <c r="H38" s="170">
        <f t="shared" si="23"/>
        <v>10980</v>
      </c>
      <c r="I38" s="170">
        <f t="shared" si="23"/>
        <v>13320</v>
      </c>
      <c r="J38" s="170">
        <f t="shared" si="23"/>
        <v>15660</v>
      </c>
      <c r="K38" s="170">
        <f t="shared" si="23"/>
        <v>18000</v>
      </c>
      <c r="L38" t="s">
        <v>148</v>
      </c>
    </row>
    <row r="39" spans="1:13" x14ac:dyDescent="0.2">
      <c r="A39" s="2"/>
      <c r="B39" s="2"/>
      <c r="C39" s="2" t="s">
        <v>149</v>
      </c>
      <c r="D39" s="2"/>
      <c r="E39" s="2"/>
      <c r="F39" s="170">
        <f t="shared" ref="F39:K39" si="24">F20*0.01</f>
        <v>26341.116000000002</v>
      </c>
      <c r="G39" s="170">
        <f t="shared" si="24"/>
        <v>34611.800800000005</v>
      </c>
      <c r="H39" s="170">
        <f t="shared" si="24"/>
        <v>42882.485600000007</v>
      </c>
      <c r="I39" s="170">
        <f t="shared" si="24"/>
        <v>51153.170400000003</v>
      </c>
      <c r="J39" s="170">
        <f t="shared" si="24"/>
        <v>59423.855199999998</v>
      </c>
      <c r="K39" s="170">
        <f t="shared" si="24"/>
        <v>67694.540000000008</v>
      </c>
      <c r="L39" t="s">
        <v>150</v>
      </c>
    </row>
    <row r="40" spans="1:13" ht="13.5" thickBot="1" x14ac:dyDescent="0.25">
      <c r="A40" s="2"/>
      <c r="B40" s="2"/>
      <c r="C40" s="2" t="s">
        <v>151</v>
      </c>
      <c r="D40" s="2"/>
      <c r="E40" s="2"/>
      <c r="F40" s="172">
        <f t="shared" ref="F40:K40" si="25">F4*100</f>
        <v>14000</v>
      </c>
      <c r="G40" s="172">
        <f t="shared" si="25"/>
        <v>19200</v>
      </c>
      <c r="H40" s="172">
        <f t="shared" si="25"/>
        <v>24400</v>
      </c>
      <c r="I40" s="172">
        <f t="shared" si="25"/>
        <v>29600</v>
      </c>
      <c r="J40" s="172">
        <f t="shared" si="25"/>
        <v>34800</v>
      </c>
      <c r="K40" s="172">
        <f t="shared" si="25"/>
        <v>40000</v>
      </c>
      <c r="L40" t="s">
        <v>105</v>
      </c>
    </row>
    <row r="41" spans="1:13" ht="13.5" thickBot="1" x14ac:dyDescent="0.25">
      <c r="A41" s="2"/>
      <c r="B41" s="2" t="s">
        <v>152</v>
      </c>
      <c r="C41" s="2"/>
      <c r="D41" s="2"/>
      <c r="E41" s="2"/>
      <c r="F41" s="176">
        <f>SUM(F34:F40)</f>
        <v>90741.116000000009</v>
      </c>
      <c r="G41" s="176">
        <f t="shared" ref="G41:K41" si="26">SUM(G34:G40)</f>
        <v>122931.8008</v>
      </c>
      <c r="H41" s="176">
        <f t="shared" si="26"/>
        <v>155122.48560000001</v>
      </c>
      <c r="I41" s="176">
        <f t="shared" si="26"/>
        <v>187313.1704</v>
      </c>
      <c r="J41" s="176">
        <f t="shared" si="26"/>
        <v>219503.85519999999</v>
      </c>
      <c r="K41" s="176">
        <f t="shared" si="26"/>
        <v>251694.54</v>
      </c>
    </row>
    <row r="42" spans="1:13" ht="13.5" thickBot="1" x14ac:dyDescent="0.25">
      <c r="B42" s="2" t="s">
        <v>153</v>
      </c>
      <c r="C42" s="2"/>
      <c r="D42" s="2"/>
      <c r="E42" s="2"/>
      <c r="F42" s="173">
        <f t="shared" ref="F42:K42" si="27">ROUND(F21+F25+F26+F31+F32+F41,5)</f>
        <v>2323781.1159999999</v>
      </c>
      <c r="G42" s="173">
        <f t="shared" si="27"/>
        <v>3062517.8007999999</v>
      </c>
      <c r="H42" s="173">
        <f t="shared" si="27"/>
        <v>3852387.3856000002</v>
      </c>
      <c r="I42" s="173">
        <f t="shared" si="27"/>
        <v>4550948.8574000001</v>
      </c>
      <c r="J42" s="173">
        <f t="shared" si="27"/>
        <v>5404412.9728100002</v>
      </c>
      <c r="K42" s="173">
        <f t="shared" si="27"/>
        <v>6130451.8111399999</v>
      </c>
    </row>
    <row r="43" spans="1:13" ht="13.5" thickBot="1" x14ac:dyDescent="0.25">
      <c r="B43" s="2" t="s">
        <v>154</v>
      </c>
      <c r="C43" s="2"/>
      <c r="D43" s="2"/>
      <c r="E43" s="2"/>
      <c r="F43" s="177">
        <f t="shared" ref="F43:K43" si="28">ROUND(F20-F42,5)</f>
        <v>310330.484</v>
      </c>
      <c r="G43" s="177">
        <f t="shared" si="28"/>
        <v>398662.27919999999</v>
      </c>
      <c r="H43" s="177">
        <f t="shared" si="28"/>
        <v>435861.17440000002</v>
      </c>
      <c r="I43" s="177">
        <f t="shared" si="28"/>
        <v>564368.18259999994</v>
      </c>
      <c r="J43" s="177">
        <f t="shared" si="28"/>
        <v>537972.54718999995</v>
      </c>
      <c r="K43" s="177">
        <f t="shared" si="28"/>
        <v>639002.18885999999</v>
      </c>
    </row>
    <row r="44" spans="1:13" ht="14.25" thickTop="1" thickBot="1" x14ac:dyDescent="0.25">
      <c r="A44" s="2"/>
      <c r="B44" s="2"/>
      <c r="C44" s="2"/>
      <c r="D44" s="2"/>
      <c r="E44" s="2" t="s">
        <v>155</v>
      </c>
      <c r="F44" s="168" t="s">
        <v>82</v>
      </c>
      <c r="G44" s="168" t="s">
        <v>83</v>
      </c>
      <c r="H44" s="168" t="s">
        <v>84</v>
      </c>
      <c r="I44" s="168" t="s">
        <v>85</v>
      </c>
      <c r="J44" s="168" t="s">
        <v>86</v>
      </c>
      <c r="K44" s="168" t="s">
        <v>87</v>
      </c>
      <c r="L44" s="180" t="s">
        <v>88</v>
      </c>
    </row>
    <row r="45" spans="1:13" ht="14.25" thickTop="1" thickBot="1" x14ac:dyDescent="0.25">
      <c r="A45" s="4"/>
      <c r="B45" s="4"/>
      <c r="C45" s="4"/>
      <c r="D45" s="4"/>
      <c r="E45" s="4"/>
      <c r="F45" s="169" t="s">
        <v>156</v>
      </c>
      <c r="G45" s="169" t="s">
        <v>89</v>
      </c>
      <c r="H45" s="169" t="s">
        <v>90</v>
      </c>
      <c r="I45" s="169" t="s">
        <v>91</v>
      </c>
      <c r="J45" s="169" t="s">
        <v>92</v>
      </c>
      <c r="K45" s="169" t="s">
        <v>93</v>
      </c>
      <c r="L45" s="1"/>
      <c r="M45" s="1"/>
    </row>
    <row r="46" spans="1:13" ht="13.5" thickTop="1" x14ac:dyDescent="0.2">
      <c r="A46" s="4"/>
      <c r="B46" s="4"/>
      <c r="C46" s="4"/>
      <c r="D46" s="4"/>
      <c r="E46" s="4"/>
      <c r="F46" s="178"/>
      <c r="G46" s="178"/>
      <c r="H46" s="178"/>
      <c r="I46" s="178"/>
      <c r="J46" s="178"/>
      <c r="K46" s="178"/>
      <c r="L46" s="1"/>
      <c r="M46" s="1"/>
    </row>
    <row r="47" spans="1:13" x14ac:dyDescent="0.2">
      <c r="B47" s="2"/>
      <c r="C47" s="2"/>
      <c r="D47" s="2"/>
      <c r="E47" s="2" t="s">
        <v>19</v>
      </c>
      <c r="F47" s="170">
        <v>350</v>
      </c>
      <c r="G47" s="170">
        <v>350</v>
      </c>
      <c r="H47" s="170">
        <v>350</v>
      </c>
      <c r="I47" s="170">
        <v>350</v>
      </c>
      <c r="J47" s="170">
        <v>350</v>
      </c>
      <c r="K47" s="170">
        <v>350</v>
      </c>
    </row>
    <row r="48" spans="1:13" x14ac:dyDescent="0.2">
      <c r="A48" s="2" t="s">
        <v>96</v>
      </c>
      <c r="B48" s="2"/>
      <c r="C48" s="2"/>
      <c r="D48" s="2"/>
      <c r="E48" s="2"/>
      <c r="F48" s="170"/>
      <c r="G48" s="170"/>
      <c r="H48" s="170"/>
      <c r="I48" s="170"/>
      <c r="J48" s="170"/>
      <c r="K48" s="170"/>
    </row>
    <row r="49" spans="1:12" x14ac:dyDescent="0.2">
      <c r="A49" s="2"/>
      <c r="B49" s="2"/>
      <c r="C49" s="2"/>
      <c r="D49" s="2" t="s">
        <v>97</v>
      </c>
      <c r="E49" s="2"/>
      <c r="F49" s="170">
        <v>4430907</v>
      </c>
      <c r="G49" s="170">
        <v>4430907</v>
      </c>
      <c r="H49" s="170">
        <v>4430907</v>
      </c>
      <c r="I49" s="170">
        <v>4430907</v>
      </c>
      <c r="J49" s="170">
        <v>4430907</v>
      </c>
      <c r="K49" s="170">
        <v>4430907</v>
      </c>
    </row>
    <row r="50" spans="1:12" ht="13.5" thickBot="1" x14ac:dyDescent="0.25">
      <c r="A50" s="2"/>
      <c r="B50" s="2"/>
      <c r="C50" s="2"/>
      <c r="D50" s="2" t="s">
        <v>98</v>
      </c>
      <c r="E50" s="2"/>
      <c r="F50" s="171">
        <v>1105168</v>
      </c>
      <c r="G50" s="171">
        <v>1105168</v>
      </c>
      <c r="H50" s="171">
        <v>1105168</v>
      </c>
      <c r="I50" s="171">
        <v>1105168</v>
      </c>
      <c r="J50" s="171">
        <v>1105168</v>
      </c>
      <c r="K50" s="171">
        <v>1105168</v>
      </c>
    </row>
    <row r="51" spans="1:12" x14ac:dyDescent="0.2">
      <c r="A51" s="2"/>
      <c r="B51" s="2"/>
      <c r="C51" s="2" t="s">
        <v>99</v>
      </c>
      <c r="D51" s="2"/>
      <c r="E51" s="2"/>
      <c r="F51" s="170">
        <f t="shared" ref="F51" si="29">ROUND(SUM(F49:F50),5)</f>
        <v>5536075</v>
      </c>
      <c r="G51" s="170">
        <f t="shared" ref="G51" si="30">ROUND(SUM(G49:G50),5)</f>
        <v>5536075</v>
      </c>
      <c r="H51" s="170">
        <f t="shared" ref="H51" si="31">ROUND(SUM(H49:H50),5)</f>
        <v>5536075</v>
      </c>
      <c r="I51" s="170">
        <f t="shared" ref="I51" si="32">ROUND(SUM(I49:I50),5)</f>
        <v>5536075</v>
      </c>
      <c r="J51" s="170">
        <f t="shared" ref="J51" si="33">ROUND(SUM(J49:J50),5)</f>
        <v>5536075</v>
      </c>
      <c r="K51" s="170">
        <f t="shared" ref="K51" si="34">ROUND(SUM(K49:K50),5)</f>
        <v>5536075</v>
      </c>
    </row>
    <row r="52" spans="1:12" x14ac:dyDescent="0.2">
      <c r="A52" s="2"/>
      <c r="B52" s="2"/>
      <c r="C52" s="2" t="s">
        <v>100</v>
      </c>
      <c r="D52" s="2"/>
      <c r="E52" s="2"/>
      <c r="F52" s="170">
        <f>F47*600</f>
        <v>210000</v>
      </c>
      <c r="G52" s="170">
        <f t="shared" ref="G52:K52" si="35">G47*600</f>
        <v>210000</v>
      </c>
      <c r="H52" s="170">
        <f t="shared" si="35"/>
        <v>210000</v>
      </c>
      <c r="I52" s="170">
        <f t="shared" si="35"/>
        <v>210000</v>
      </c>
      <c r="J52" s="170">
        <f t="shared" si="35"/>
        <v>210000</v>
      </c>
      <c r="K52" s="170">
        <f t="shared" si="35"/>
        <v>210000</v>
      </c>
      <c r="L52" s="181" t="s">
        <v>101</v>
      </c>
    </row>
    <row r="53" spans="1:12" x14ac:dyDescent="0.2">
      <c r="A53" s="2"/>
      <c r="B53" s="2" t="s">
        <v>102</v>
      </c>
      <c r="C53" s="2"/>
      <c r="D53" s="2"/>
      <c r="E53" s="2"/>
      <c r="F53" s="170">
        <f>F47*700</f>
        <v>245000</v>
      </c>
      <c r="G53" s="170">
        <f t="shared" ref="G53:K53" si="36">G47*700</f>
        <v>245000</v>
      </c>
      <c r="H53" s="170">
        <f t="shared" si="36"/>
        <v>245000</v>
      </c>
      <c r="I53" s="170">
        <f t="shared" si="36"/>
        <v>245000</v>
      </c>
      <c r="J53" s="170">
        <f t="shared" si="36"/>
        <v>245000</v>
      </c>
      <c r="K53" s="170">
        <f t="shared" si="36"/>
        <v>245000</v>
      </c>
      <c r="L53" s="181" t="s">
        <v>103</v>
      </c>
    </row>
    <row r="54" spans="1:12" x14ac:dyDescent="0.2">
      <c r="A54" s="2"/>
      <c r="B54" s="2" t="s">
        <v>104</v>
      </c>
      <c r="C54" s="2"/>
      <c r="D54" s="2"/>
      <c r="E54" s="2"/>
      <c r="F54" s="170">
        <f>F47*100</f>
        <v>35000</v>
      </c>
      <c r="G54" s="170">
        <f t="shared" ref="G54:K54" si="37">G47*100</f>
        <v>35000</v>
      </c>
      <c r="H54" s="170">
        <f t="shared" si="37"/>
        <v>35000</v>
      </c>
      <c r="I54" s="170">
        <f t="shared" si="37"/>
        <v>35000</v>
      </c>
      <c r="J54" s="170">
        <f t="shared" si="37"/>
        <v>35000</v>
      </c>
      <c r="K54" s="170">
        <f t="shared" si="37"/>
        <v>35000</v>
      </c>
      <c r="L54" t="s">
        <v>105</v>
      </c>
    </row>
    <row r="55" spans="1:12" x14ac:dyDescent="0.2">
      <c r="A55" s="2"/>
      <c r="B55" s="2" t="s">
        <v>106</v>
      </c>
      <c r="C55" s="2"/>
      <c r="D55" s="2"/>
      <c r="E55" s="2"/>
      <c r="F55" s="170">
        <f>F47*250</f>
        <v>87500</v>
      </c>
      <c r="G55" s="170">
        <f t="shared" ref="G55:K55" si="38">G47*250</f>
        <v>87500</v>
      </c>
      <c r="H55" s="170">
        <f t="shared" si="38"/>
        <v>87500</v>
      </c>
      <c r="I55" s="170">
        <f t="shared" si="38"/>
        <v>87500</v>
      </c>
      <c r="J55" s="170">
        <f t="shared" si="38"/>
        <v>87500</v>
      </c>
      <c r="K55" s="170">
        <f t="shared" si="38"/>
        <v>87500</v>
      </c>
      <c r="L55" s="181" t="s">
        <v>157</v>
      </c>
    </row>
    <row r="56" spans="1:12" x14ac:dyDescent="0.2">
      <c r="A56" s="2"/>
      <c r="B56" s="2" t="s">
        <v>108</v>
      </c>
      <c r="C56" s="2"/>
      <c r="D56" s="2"/>
      <c r="E56" s="2"/>
      <c r="F56" s="170">
        <f>F47*150</f>
        <v>52500</v>
      </c>
      <c r="G56" s="170">
        <f t="shared" ref="G56:K56" si="39">G47*150</f>
        <v>52500</v>
      </c>
      <c r="H56" s="170">
        <f t="shared" si="39"/>
        <v>52500</v>
      </c>
      <c r="I56" s="170">
        <f t="shared" si="39"/>
        <v>52500</v>
      </c>
      <c r="J56" s="170">
        <f t="shared" si="39"/>
        <v>52500</v>
      </c>
      <c r="K56" s="170">
        <f t="shared" si="39"/>
        <v>52500</v>
      </c>
      <c r="L56" s="181" t="s">
        <v>158</v>
      </c>
    </row>
    <row r="57" spans="1:12" x14ac:dyDescent="0.2">
      <c r="A57" s="2"/>
      <c r="B57" s="2" t="s">
        <v>110</v>
      </c>
      <c r="C57" s="2"/>
      <c r="D57" s="2"/>
      <c r="E57" s="2"/>
      <c r="F57" s="170">
        <f t="shared" ref="F57:K57" si="40">710*F47</f>
        <v>248500</v>
      </c>
      <c r="G57" s="170">
        <f t="shared" si="40"/>
        <v>248500</v>
      </c>
      <c r="H57" s="170">
        <f t="shared" si="40"/>
        <v>248500</v>
      </c>
      <c r="I57" s="170">
        <f t="shared" si="40"/>
        <v>248500</v>
      </c>
      <c r="J57" s="170">
        <f t="shared" si="40"/>
        <v>248500</v>
      </c>
      <c r="K57" s="170">
        <f t="shared" si="40"/>
        <v>248500</v>
      </c>
      <c r="L57" t="s">
        <v>111</v>
      </c>
    </row>
    <row r="58" spans="1:12" x14ac:dyDescent="0.2">
      <c r="A58" s="2"/>
      <c r="B58" s="2"/>
      <c r="C58" s="2"/>
      <c r="D58" s="2"/>
      <c r="E58" s="2" t="s">
        <v>112</v>
      </c>
      <c r="F58" s="170">
        <v>500000</v>
      </c>
      <c r="G58" s="170">
        <v>500000</v>
      </c>
      <c r="H58" s="170">
        <v>500000</v>
      </c>
      <c r="I58" s="170">
        <v>500000</v>
      </c>
      <c r="J58" s="170">
        <v>500000</v>
      </c>
      <c r="K58" s="170">
        <v>500000</v>
      </c>
    </row>
    <row r="59" spans="1:12" x14ac:dyDescent="0.2">
      <c r="A59" s="2"/>
      <c r="B59" s="2"/>
      <c r="C59" s="2"/>
      <c r="D59" s="2"/>
      <c r="E59" s="2" t="s">
        <v>113</v>
      </c>
      <c r="F59" s="170">
        <f t="shared" ref="F59:J59" si="41">F47*100</f>
        <v>35000</v>
      </c>
      <c r="G59" s="170">
        <f t="shared" si="41"/>
        <v>35000</v>
      </c>
      <c r="H59" s="170">
        <f t="shared" si="41"/>
        <v>35000</v>
      </c>
      <c r="I59" s="170">
        <f t="shared" si="41"/>
        <v>35000</v>
      </c>
      <c r="J59" s="170">
        <f t="shared" si="41"/>
        <v>35000</v>
      </c>
      <c r="K59" s="170">
        <f>K47*100</f>
        <v>35000</v>
      </c>
      <c r="L59" t="s">
        <v>105</v>
      </c>
    </row>
    <row r="60" spans="1:12" x14ac:dyDescent="0.2">
      <c r="A60" s="2"/>
      <c r="B60" s="2"/>
      <c r="C60" s="2"/>
      <c r="D60" s="2"/>
      <c r="E60" s="2" t="s">
        <v>114</v>
      </c>
      <c r="F60" s="170">
        <f t="shared" ref="F60:J60" si="42">F47*50</f>
        <v>17500</v>
      </c>
      <c r="G60" s="170">
        <f t="shared" si="42"/>
        <v>17500</v>
      </c>
      <c r="H60" s="170">
        <f t="shared" si="42"/>
        <v>17500</v>
      </c>
      <c r="I60" s="170">
        <f t="shared" si="42"/>
        <v>17500</v>
      </c>
      <c r="J60" s="170">
        <f t="shared" si="42"/>
        <v>17500</v>
      </c>
      <c r="K60" s="170">
        <f>K47*50</f>
        <v>17500</v>
      </c>
      <c r="L60" s="181" t="s">
        <v>115</v>
      </c>
    </row>
    <row r="61" spans="1:12" x14ac:dyDescent="0.2">
      <c r="A61" s="2"/>
      <c r="B61" s="2" t="s">
        <v>116</v>
      </c>
      <c r="C61" s="2"/>
      <c r="D61" s="2"/>
      <c r="E61" s="2"/>
      <c r="F61" s="172">
        <f t="shared" ref="F61:K61" si="43">695*F47</f>
        <v>243250</v>
      </c>
      <c r="G61" s="172">
        <f t="shared" si="43"/>
        <v>243250</v>
      </c>
      <c r="H61" s="172">
        <f t="shared" si="43"/>
        <v>243250</v>
      </c>
      <c r="I61" s="172">
        <f t="shared" si="43"/>
        <v>243250</v>
      </c>
      <c r="J61" s="172">
        <f t="shared" si="43"/>
        <v>243250</v>
      </c>
      <c r="K61" s="172">
        <f t="shared" si="43"/>
        <v>243250</v>
      </c>
      <c r="L61" t="s">
        <v>117</v>
      </c>
    </row>
    <row r="62" spans="1:12" ht="13.5" thickBot="1" x14ac:dyDescent="0.25">
      <c r="B62" s="2"/>
      <c r="C62" s="2" t="s">
        <v>118</v>
      </c>
      <c r="D62" s="2"/>
      <c r="E62" s="2"/>
      <c r="F62" s="189">
        <f>SUM(F51:F61)</f>
        <v>7210325</v>
      </c>
      <c r="G62" s="189">
        <f t="shared" ref="G62:K62" si="44">SUM(G51:G61)</f>
        <v>7210325</v>
      </c>
      <c r="H62" s="189">
        <f t="shared" si="44"/>
        <v>7210325</v>
      </c>
      <c r="I62" s="189">
        <f t="shared" si="44"/>
        <v>7210325</v>
      </c>
      <c r="J62" s="189">
        <f t="shared" si="44"/>
        <v>7210325</v>
      </c>
      <c r="K62" s="189">
        <f t="shared" si="44"/>
        <v>7210325</v>
      </c>
    </row>
    <row r="63" spans="1:12" x14ac:dyDescent="0.2">
      <c r="A63" s="2"/>
      <c r="B63" s="2" t="s">
        <v>119</v>
      </c>
      <c r="C63" s="2"/>
      <c r="D63" s="2"/>
      <c r="E63" s="2"/>
      <c r="F63" s="170">
        <f t="shared" ref="F63:K63" si="45">F62</f>
        <v>7210325</v>
      </c>
      <c r="G63" s="170">
        <f t="shared" si="45"/>
        <v>7210325</v>
      </c>
      <c r="H63" s="170">
        <f t="shared" si="45"/>
        <v>7210325</v>
      </c>
      <c r="I63" s="170">
        <f t="shared" si="45"/>
        <v>7210325</v>
      </c>
      <c r="J63" s="170">
        <f t="shared" si="45"/>
        <v>7210325</v>
      </c>
      <c r="K63" s="170">
        <f t="shared" si="45"/>
        <v>7210325</v>
      </c>
    </row>
    <row r="64" spans="1:12" x14ac:dyDescent="0.2">
      <c r="A64" s="2"/>
      <c r="B64" s="2" t="s">
        <v>120</v>
      </c>
      <c r="C64" s="2"/>
      <c r="D64" s="2"/>
      <c r="E64" s="2"/>
      <c r="F64" s="170"/>
      <c r="G64" s="170"/>
      <c r="H64" s="170"/>
      <c r="I64" s="170"/>
      <c r="J64" s="170"/>
      <c r="K64" s="170"/>
    </row>
    <row r="65" spans="1:12" x14ac:dyDescent="0.2">
      <c r="A65" s="3"/>
      <c r="B65" s="3"/>
      <c r="C65" s="3"/>
      <c r="D65" s="3"/>
      <c r="E65" s="2" t="s">
        <v>121</v>
      </c>
      <c r="F65" s="175">
        <v>3910000</v>
      </c>
      <c r="G65" s="175">
        <v>3910000</v>
      </c>
      <c r="H65" s="175">
        <v>3910000</v>
      </c>
      <c r="I65" s="175">
        <v>3910000</v>
      </c>
      <c r="J65" s="175">
        <v>3910000</v>
      </c>
      <c r="K65" s="175">
        <v>3910000</v>
      </c>
    </row>
    <row r="66" spans="1:12" x14ac:dyDescent="0.2">
      <c r="A66" s="2"/>
      <c r="B66" s="2"/>
      <c r="C66" s="2" t="s">
        <v>122</v>
      </c>
      <c r="D66" s="2"/>
      <c r="E66" s="2"/>
      <c r="F66" s="170">
        <f>F65*0.2</f>
        <v>782000</v>
      </c>
      <c r="G66" s="170">
        <f t="shared" ref="G66:K66" si="46">G65*0.2</f>
        <v>782000</v>
      </c>
      <c r="H66" s="170">
        <f t="shared" si="46"/>
        <v>782000</v>
      </c>
      <c r="I66" s="170">
        <f t="shared" si="46"/>
        <v>782000</v>
      </c>
      <c r="J66" s="170">
        <f t="shared" si="46"/>
        <v>782000</v>
      </c>
      <c r="K66" s="170">
        <f t="shared" si="46"/>
        <v>782000</v>
      </c>
      <c r="L66" t="s">
        <v>123</v>
      </c>
    </row>
    <row r="67" spans="1:12" x14ac:dyDescent="0.2">
      <c r="A67" s="2"/>
      <c r="B67" s="2"/>
      <c r="C67" s="2" t="s">
        <v>124</v>
      </c>
      <c r="D67" s="2"/>
      <c r="E67" s="2"/>
      <c r="F67" s="170">
        <f>F65*0.025</f>
        <v>97750</v>
      </c>
      <c r="G67" s="170">
        <f t="shared" ref="G67:K67" si="47">G65*0.025</f>
        <v>97750</v>
      </c>
      <c r="H67" s="170">
        <f t="shared" si="47"/>
        <v>97750</v>
      </c>
      <c r="I67" s="170">
        <f t="shared" si="47"/>
        <v>97750</v>
      </c>
      <c r="J67" s="170">
        <f t="shared" si="47"/>
        <v>97750</v>
      </c>
      <c r="K67" s="170">
        <f t="shared" si="47"/>
        <v>97750</v>
      </c>
      <c r="L67" t="s">
        <v>125</v>
      </c>
    </row>
    <row r="68" spans="1:12" x14ac:dyDescent="0.2">
      <c r="A68" s="2"/>
      <c r="B68" s="2" t="s">
        <v>126</v>
      </c>
      <c r="C68" s="2"/>
      <c r="D68" s="2"/>
      <c r="E68" s="2"/>
      <c r="F68" s="170">
        <f>SUM(F65:F67)</f>
        <v>4789750</v>
      </c>
      <c r="G68" s="170">
        <f t="shared" ref="G68:K68" si="48">SUM(G65:G67)</f>
        <v>4789750</v>
      </c>
      <c r="H68" s="170">
        <f t="shared" si="48"/>
        <v>4789750</v>
      </c>
      <c r="I68" s="170">
        <f t="shared" si="48"/>
        <v>4789750</v>
      </c>
      <c r="J68" s="170">
        <f t="shared" si="48"/>
        <v>4789750</v>
      </c>
      <c r="K68" s="170">
        <f t="shared" si="48"/>
        <v>4789750</v>
      </c>
    </row>
    <row r="69" spans="1:12" x14ac:dyDescent="0.2">
      <c r="A69" s="2"/>
      <c r="B69" s="2" t="s">
        <v>127</v>
      </c>
      <c r="C69" s="2"/>
      <c r="D69" s="2"/>
      <c r="E69" s="2"/>
      <c r="F69" s="170">
        <f t="shared" ref="F69:K69" si="49">F47*2000</f>
        <v>700000</v>
      </c>
      <c r="G69" s="170">
        <f t="shared" si="49"/>
        <v>700000</v>
      </c>
      <c r="H69" s="170">
        <f t="shared" si="49"/>
        <v>700000</v>
      </c>
      <c r="I69" s="170">
        <f t="shared" si="49"/>
        <v>700000</v>
      </c>
      <c r="J69" s="170">
        <f t="shared" si="49"/>
        <v>700000</v>
      </c>
      <c r="K69" s="170">
        <f t="shared" si="49"/>
        <v>700000</v>
      </c>
      <c r="L69" t="s">
        <v>128</v>
      </c>
    </row>
    <row r="70" spans="1:12" x14ac:dyDescent="0.2">
      <c r="A70" s="2"/>
      <c r="B70" s="2" t="s">
        <v>129</v>
      </c>
      <c r="C70" s="2"/>
      <c r="D70" s="2"/>
      <c r="E70" s="2"/>
      <c r="F70" s="170"/>
      <c r="G70" s="170"/>
      <c r="H70" s="170"/>
      <c r="I70" s="170"/>
      <c r="J70" s="170"/>
      <c r="K70" s="170"/>
    </row>
    <row r="71" spans="1:12" x14ac:dyDescent="0.2">
      <c r="A71" s="2"/>
      <c r="B71" s="2"/>
      <c r="C71" s="2" t="s">
        <v>159</v>
      </c>
      <c r="D71" s="2"/>
      <c r="E71" s="2"/>
      <c r="F71" s="170">
        <v>330000</v>
      </c>
      <c r="G71" s="170">
        <v>330000</v>
      </c>
      <c r="H71" s="170">
        <v>330000</v>
      </c>
      <c r="I71" s="170">
        <v>330000</v>
      </c>
      <c r="J71" s="170">
        <v>330000</v>
      </c>
      <c r="K71" s="170">
        <v>330000</v>
      </c>
    </row>
    <row r="72" spans="1:12" x14ac:dyDescent="0.2">
      <c r="A72" s="2"/>
      <c r="B72" s="2"/>
      <c r="C72" s="2" t="s">
        <v>132</v>
      </c>
      <c r="D72" s="2"/>
      <c r="E72" s="2"/>
      <c r="F72" s="170">
        <v>65000</v>
      </c>
      <c r="G72" s="170">
        <v>65000</v>
      </c>
      <c r="H72" s="170">
        <v>65000</v>
      </c>
      <c r="I72" s="170">
        <v>65000</v>
      </c>
      <c r="J72" s="170">
        <v>65000</v>
      </c>
      <c r="K72" s="170">
        <v>65000</v>
      </c>
    </row>
    <row r="73" spans="1:12" x14ac:dyDescent="0.2">
      <c r="A73" s="2"/>
      <c r="B73" s="2"/>
      <c r="C73" s="2" t="s">
        <v>134</v>
      </c>
      <c r="D73" s="2"/>
      <c r="E73" s="2"/>
      <c r="F73" s="170">
        <v>200000</v>
      </c>
      <c r="G73" s="170">
        <v>200000</v>
      </c>
      <c r="H73" s="170">
        <v>200000</v>
      </c>
      <c r="I73" s="170">
        <v>200000</v>
      </c>
      <c r="J73" s="170">
        <v>200000</v>
      </c>
      <c r="K73" s="170">
        <v>200000</v>
      </c>
    </row>
    <row r="74" spans="1:12" x14ac:dyDescent="0.2">
      <c r="A74" s="2"/>
      <c r="B74" s="2" t="s">
        <v>136</v>
      </c>
      <c r="C74" s="2"/>
      <c r="D74" s="2"/>
      <c r="E74" s="2"/>
      <c r="F74" s="170">
        <f>SUM(F71:F73)</f>
        <v>595000</v>
      </c>
      <c r="G74" s="170">
        <f t="shared" ref="G74:K74" si="50">SUM(G71:G73)</f>
        <v>595000</v>
      </c>
      <c r="H74" s="170">
        <f t="shared" si="50"/>
        <v>595000</v>
      </c>
      <c r="I74" s="170">
        <f t="shared" si="50"/>
        <v>595000</v>
      </c>
      <c r="J74" s="170">
        <f t="shared" si="50"/>
        <v>595000</v>
      </c>
      <c r="K74" s="170">
        <f t="shared" si="50"/>
        <v>595000</v>
      </c>
    </row>
    <row r="75" spans="1:12" x14ac:dyDescent="0.2">
      <c r="A75" s="2"/>
      <c r="B75" s="2" t="s">
        <v>137</v>
      </c>
      <c r="C75" s="2"/>
      <c r="D75" s="2"/>
      <c r="E75" s="2"/>
      <c r="F75" s="170">
        <f t="shared" ref="F75:K75" si="51">800*F47</f>
        <v>280000</v>
      </c>
      <c r="G75" s="170">
        <f t="shared" si="51"/>
        <v>280000</v>
      </c>
      <c r="H75" s="170">
        <f t="shared" si="51"/>
        <v>280000</v>
      </c>
      <c r="I75" s="170">
        <f t="shared" si="51"/>
        <v>280000</v>
      </c>
      <c r="J75" s="170">
        <f t="shared" si="51"/>
        <v>280000</v>
      </c>
      <c r="K75" s="170">
        <f t="shared" si="51"/>
        <v>280000</v>
      </c>
      <c r="L75" t="s">
        <v>138</v>
      </c>
    </row>
    <row r="76" spans="1:12" x14ac:dyDescent="0.2">
      <c r="A76" s="2"/>
      <c r="B76" s="2" t="s">
        <v>139</v>
      </c>
      <c r="C76" s="2"/>
      <c r="D76" s="2"/>
      <c r="E76" s="2"/>
      <c r="F76" s="170"/>
      <c r="G76" s="170"/>
      <c r="H76" s="170"/>
      <c r="I76" s="170"/>
      <c r="J76" s="170"/>
      <c r="K76" s="170"/>
    </row>
    <row r="77" spans="1:12" x14ac:dyDescent="0.2">
      <c r="A77" s="2"/>
      <c r="B77" s="2"/>
      <c r="C77" s="2" t="s">
        <v>140</v>
      </c>
      <c r="D77" s="2"/>
      <c r="E77" s="2"/>
      <c r="F77" s="170">
        <f t="shared" ref="F77:K77" si="52">60*F47</f>
        <v>21000</v>
      </c>
      <c r="G77" s="170">
        <f t="shared" si="52"/>
        <v>21000</v>
      </c>
      <c r="H77" s="170">
        <f t="shared" si="52"/>
        <v>21000</v>
      </c>
      <c r="I77" s="170">
        <f t="shared" si="52"/>
        <v>21000</v>
      </c>
      <c r="J77" s="170">
        <f t="shared" si="52"/>
        <v>21000</v>
      </c>
      <c r="K77" s="170">
        <f t="shared" si="52"/>
        <v>21000</v>
      </c>
      <c r="L77" t="s">
        <v>141</v>
      </c>
    </row>
    <row r="78" spans="1:12" x14ac:dyDescent="0.2">
      <c r="A78" s="2"/>
      <c r="B78" s="2"/>
      <c r="C78" s="2"/>
      <c r="D78" s="2"/>
      <c r="E78" s="2" t="s">
        <v>142</v>
      </c>
      <c r="F78" s="170">
        <v>350000</v>
      </c>
      <c r="G78" s="170">
        <v>350000</v>
      </c>
      <c r="H78" s="170">
        <v>350000</v>
      </c>
      <c r="I78" s="170">
        <v>350000</v>
      </c>
      <c r="J78" s="170">
        <v>350000</v>
      </c>
      <c r="K78" s="170">
        <v>350000</v>
      </c>
    </row>
    <row r="79" spans="1:12" x14ac:dyDescent="0.2">
      <c r="A79" s="2"/>
      <c r="B79" s="2"/>
      <c r="C79" s="2" t="s">
        <v>143</v>
      </c>
      <c r="D79" s="2"/>
      <c r="E79" s="2"/>
      <c r="F79" s="172">
        <f t="shared" ref="F79:K79" si="53">F47*40</f>
        <v>14000</v>
      </c>
      <c r="G79" s="172">
        <f t="shared" si="53"/>
        <v>14000</v>
      </c>
      <c r="H79" s="172">
        <f t="shared" si="53"/>
        <v>14000</v>
      </c>
      <c r="I79" s="172">
        <f t="shared" si="53"/>
        <v>14000</v>
      </c>
      <c r="J79" s="172">
        <f t="shared" si="53"/>
        <v>14000</v>
      </c>
      <c r="K79" s="172">
        <f t="shared" si="53"/>
        <v>14000</v>
      </c>
      <c r="L79" t="s">
        <v>144</v>
      </c>
    </row>
    <row r="80" spans="1:12" x14ac:dyDescent="0.2">
      <c r="A80" s="2"/>
      <c r="B80" s="2"/>
      <c r="C80" s="2" t="s">
        <v>145</v>
      </c>
      <c r="D80" s="2"/>
      <c r="E80" s="2"/>
      <c r="F80" s="170">
        <f t="shared" ref="F80:K80" si="54">F47*215</f>
        <v>75250</v>
      </c>
      <c r="G80" s="170">
        <f t="shared" si="54"/>
        <v>75250</v>
      </c>
      <c r="H80" s="170">
        <f t="shared" si="54"/>
        <v>75250</v>
      </c>
      <c r="I80" s="170">
        <f t="shared" si="54"/>
        <v>75250</v>
      </c>
      <c r="J80" s="170">
        <f t="shared" si="54"/>
        <v>75250</v>
      </c>
      <c r="K80" s="170">
        <f t="shared" si="54"/>
        <v>75250</v>
      </c>
      <c r="L80" t="s">
        <v>146</v>
      </c>
    </row>
    <row r="81" spans="1:12" x14ac:dyDescent="0.2">
      <c r="A81" s="2"/>
      <c r="B81" s="2"/>
      <c r="C81" s="2" t="s">
        <v>147</v>
      </c>
      <c r="D81" s="2"/>
      <c r="E81" s="2"/>
      <c r="F81" s="170">
        <f t="shared" ref="F81:K81" si="55">F47*45</f>
        <v>15750</v>
      </c>
      <c r="G81" s="170">
        <f t="shared" si="55"/>
        <v>15750</v>
      </c>
      <c r="H81" s="170">
        <f t="shared" si="55"/>
        <v>15750</v>
      </c>
      <c r="I81" s="170">
        <f t="shared" si="55"/>
        <v>15750</v>
      </c>
      <c r="J81" s="170">
        <f t="shared" si="55"/>
        <v>15750</v>
      </c>
      <c r="K81" s="170">
        <f t="shared" si="55"/>
        <v>15750</v>
      </c>
      <c r="L81" t="s">
        <v>148</v>
      </c>
    </row>
    <row r="82" spans="1:12" x14ac:dyDescent="0.2">
      <c r="A82" s="2"/>
      <c r="B82" s="2"/>
      <c r="C82" s="2" t="s">
        <v>149</v>
      </c>
      <c r="D82" s="2"/>
      <c r="E82" s="2"/>
      <c r="F82" s="170">
        <f t="shared" ref="F82:K82" si="56">F63*0.01</f>
        <v>72103.25</v>
      </c>
      <c r="G82" s="170">
        <f t="shared" si="56"/>
        <v>72103.25</v>
      </c>
      <c r="H82" s="170">
        <f t="shared" si="56"/>
        <v>72103.25</v>
      </c>
      <c r="I82" s="170">
        <f t="shared" si="56"/>
        <v>72103.25</v>
      </c>
      <c r="J82" s="170">
        <f t="shared" si="56"/>
        <v>72103.25</v>
      </c>
      <c r="K82" s="170">
        <f t="shared" si="56"/>
        <v>72103.25</v>
      </c>
      <c r="L82" t="s">
        <v>150</v>
      </c>
    </row>
    <row r="83" spans="1:12" ht="13.5" thickBot="1" x14ac:dyDescent="0.25">
      <c r="A83" s="2"/>
      <c r="B83" s="2"/>
      <c r="C83" s="2" t="s">
        <v>151</v>
      </c>
      <c r="D83" s="2"/>
      <c r="E83" s="2"/>
      <c r="F83" s="172">
        <f>F47*10</f>
        <v>3500</v>
      </c>
      <c r="G83" s="172">
        <f t="shared" ref="G83:K83" si="57">G47*10</f>
        <v>3500</v>
      </c>
      <c r="H83" s="172">
        <f t="shared" si="57"/>
        <v>3500</v>
      </c>
      <c r="I83" s="172">
        <f t="shared" si="57"/>
        <v>3500</v>
      </c>
      <c r="J83" s="172">
        <f t="shared" si="57"/>
        <v>3500</v>
      </c>
      <c r="K83" s="172">
        <f t="shared" si="57"/>
        <v>3500</v>
      </c>
      <c r="L83" s="181" t="s">
        <v>160</v>
      </c>
    </row>
    <row r="84" spans="1:12" ht="13.5" thickBot="1" x14ac:dyDescent="0.25">
      <c r="A84" s="2"/>
      <c r="B84" s="2" t="s">
        <v>152</v>
      </c>
      <c r="C84" s="2"/>
      <c r="D84" s="2"/>
      <c r="E84" s="2"/>
      <c r="F84" s="176">
        <f>SUM(F77:F83)</f>
        <v>551603.25</v>
      </c>
      <c r="G84" s="176">
        <f t="shared" ref="G84:K84" si="58">SUM(G77:G83)</f>
        <v>551603.25</v>
      </c>
      <c r="H84" s="176">
        <f t="shared" si="58"/>
        <v>551603.25</v>
      </c>
      <c r="I84" s="176">
        <f t="shared" si="58"/>
        <v>551603.25</v>
      </c>
      <c r="J84" s="176">
        <f t="shared" si="58"/>
        <v>551603.25</v>
      </c>
      <c r="K84" s="176">
        <f t="shared" si="58"/>
        <v>551603.25</v>
      </c>
    </row>
    <row r="85" spans="1:12" ht="13.5" thickBot="1" x14ac:dyDescent="0.25">
      <c r="B85" s="2" t="s">
        <v>153</v>
      </c>
      <c r="C85" s="2"/>
      <c r="D85" s="2"/>
      <c r="E85" s="2"/>
      <c r="F85" s="173">
        <f t="shared" ref="F85" si="59">ROUND(F64+F68+F69+F74+F75+F84,5)</f>
        <v>6916353.25</v>
      </c>
      <c r="G85" s="173">
        <f t="shared" ref="G85" si="60">ROUND(G64+G68+G69+G74+G75+G84,5)</f>
        <v>6916353.25</v>
      </c>
      <c r="H85" s="173">
        <f t="shared" ref="H85" si="61">ROUND(H64+H68+H69+H74+H75+H84,5)</f>
        <v>6916353.25</v>
      </c>
      <c r="I85" s="173">
        <f t="shared" ref="I85" si="62">ROUND(I64+I68+I69+I74+I75+I84,5)</f>
        <v>6916353.25</v>
      </c>
      <c r="J85" s="173">
        <f t="shared" ref="J85" si="63">ROUND(J64+J68+J69+J74+J75+J84,5)</f>
        <v>6916353.25</v>
      </c>
      <c r="K85" s="173">
        <f t="shared" ref="K85" si="64">ROUND(K64+K68+K69+K74+K75+K84,5)</f>
        <v>6916353.25</v>
      </c>
    </row>
    <row r="86" spans="1:12" ht="13.5" thickBot="1" x14ac:dyDescent="0.25">
      <c r="B86" s="2" t="s">
        <v>154</v>
      </c>
      <c r="C86" s="2"/>
      <c r="D86" s="2"/>
      <c r="E86" s="2"/>
      <c r="F86" s="177">
        <f t="shared" ref="F86" si="65">ROUND(F63-F85,5)</f>
        <v>293971.75</v>
      </c>
      <c r="G86" s="177">
        <f t="shared" ref="G86" si="66">ROUND(G63-G85,5)</f>
        <v>293971.75</v>
      </c>
      <c r="H86" s="177">
        <f t="shared" ref="H86" si="67">ROUND(H63-H85,5)</f>
        <v>293971.75</v>
      </c>
      <c r="I86" s="177">
        <f t="shared" ref="I86" si="68">ROUND(I63-I85,5)</f>
        <v>293971.75</v>
      </c>
      <c r="J86" s="177">
        <f t="shared" ref="J86" si="69">ROUND(J63-J85,5)</f>
        <v>293971.75</v>
      </c>
      <c r="K86" s="177">
        <f t="shared" ref="K86" si="70">ROUND(K63-K85,5)</f>
        <v>293971.75</v>
      </c>
    </row>
    <row r="87" spans="1:12" ht="14.25" thickTop="1" thickBot="1" x14ac:dyDescent="0.25">
      <c r="A87" s="2"/>
      <c r="B87" s="2"/>
      <c r="C87" s="2"/>
      <c r="D87" s="2"/>
      <c r="E87" s="2" t="s">
        <v>161</v>
      </c>
      <c r="F87" s="168" t="s">
        <v>82</v>
      </c>
      <c r="G87" s="168" t="s">
        <v>83</v>
      </c>
      <c r="H87" s="168" t="s">
        <v>84</v>
      </c>
      <c r="I87" s="168" t="s">
        <v>85</v>
      </c>
      <c r="J87" s="168" t="s">
        <v>86</v>
      </c>
      <c r="K87" s="168" t="s">
        <v>87</v>
      </c>
      <c r="L87" s="180" t="s">
        <v>88</v>
      </c>
    </row>
    <row r="88" spans="1:12" ht="14.25" thickTop="1" thickBot="1" x14ac:dyDescent="0.25">
      <c r="A88" s="4"/>
      <c r="B88" s="4"/>
      <c r="C88" s="4"/>
      <c r="D88" s="4"/>
      <c r="E88" s="4"/>
      <c r="F88" s="169" t="s">
        <v>156</v>
      </c>
      <c r="G88" s="169" t="s">
        <v>89</v>
      </c>
      <c r="H88" s="169" t="s">
        <v>90</v>
      </c>
      <c r="I88" s="169" t="s">
        <v>91</v>
      </c>
      <c r="J88" s="169" t="s">
        <v>92</v>
      </c>
      <c r="K88" s="169" t="s">
        <v>93</v>
      </c>
      <c r="L88" s="1"/>
    </row>
    <row r="89" spans="1:12" ht="13.5" thickTop="1" x14ac:dyDescent="0.2">
      <c r="A89" s="4"/>
      <c r="B89" s="4"/>
      <c r="C89" s="4"/>
      <c r="D89" s="4"/>
      <c r="E89" s="4"/>
      <c r="F89" s="178"/>
      <c r="G89" s="178"/>
      <c r="H89" s="178"/>
      <c r="I89" s="178"/>
      <c r="J89" s="178"/>
      <c r="K89" s="178"/>
      <c r="L89" s="1"/>
    </row>
    <row r="90" spans="1:12" x14ac:dyDescent="0.2">
      <c r="B90" s="2"/>
      <c r="C90" s="2"/>
      <c r="D90" s="2"/>
      <c r="E90" s="2" t="s">
        <v>19</v>
      </c>
      <c r="F90" s="170">
        <v>350</v>
      </c>
      <c r="G90" s="170">
        <v>350</v>
      </c>
      <c r="H90" s="170">
        <v>350</v>
      </c>
      <c r="I90" s="170">
        <v>350</v>
      </c>
      <c r="J90" s="170">
        <v>350</v>
      </c>
      <c r="K90" s="170">
        <v>350</v>
      </c>
    </row>
    <row r="91" spans="1:12" x14ac:dyDescent="0.2">
      <c r="A91" s="2" t="s">
        <v>96</v>
      </c>
      <c r="B91" s="2"/>
      <c r="C91" s="2"/>
      <c r="D91" s="2"/>
      <c r="E91" s="2"/>
      <c r="F91" s="170"/>
      <c r="G91" s="170"/>
      <c r="H91" s="170"/>
      <c r="I91" s="170"/>
      <c r="J91" s="170"/>
      <c r="K91" s="170"/>
    </row>
    <row r="92" spans="1:12" x14ac:dyDescent="0.2">
      <c r="A92" s="2"/>
      <c r="B92" s="2"/>
      <c r="C92" s="2"/>
      <c r="D92" s="2" t="s">
        <v>97</v>
      </c>
      <c r="E92" s="2"/>
      <c r="F92" s="170">
        <f>F6+F49</f>
        <v>6210458.5999999996</v>
      </c>
      <c r="G92" s="170">
        <f t="shared" ref="G92:K93" si="71">G6+G49</f>
        <v>6720119.0800000001</v>
      </c>
      <c r="H92" s="170">
        <f t="shared" si="71"/>
        <v>7229779.5600000005</v>
      </c>
      <c r="I92" s="170">
        <f t="shared" si="71"/>
        <v>7739440.04</v>
      </c>
      <c r="J92" s="170">
        <f t="shared" si="71"/>
        <v>8249100.5199999996</v>
      </c>
      <c r="K92" s="170">
        <f t="shared" si="71"/>
        <v>8758761</v>
      </c>
    </row>
    <row r="93" spans="1:12" x14ac:dyDescent="0.2">
      <c r="A93" s="2"/>
      <c r="B93" s="2"/>
      <c r="C93" s="2"/>
      <c r="D93" s="2" t="s">
        <v>98</v>
      </c>
      <c r="E93" s="2"/>
      <c r="F93" s="170">
        <f>F7+F50</f>
        <v>1542528</v>
      </c>
      <c r="G93" s="170">
        <f t="shared" si="71"/>
        <v>1704976</v>
      </c>
      <c r="H93" s="170">
        <f t="shared" si="71"/>
        <v>1867424</v>
      </c>
      <c r="I93" s="170">
        <f t="shared" si="71"/>
        <v>2029872</v>
      </c>
      <c r="J93" s="170">
        <f t="shared" si="71"/>
        <v>2192320</v>
      </c>
      <c r="K93" s="170">
        <f t="shared" si="71"/>
        <v>2354768</v>
      </c>
    </row>
    <row r="94" spans="1:12" x14ac:dyDescent="0.2">
      <c r="A94" s="2"/>
      <c r="B94" s="2"/>
      <c r="C94" s="2" t="s">
        <v>99</v>
      </c>
      <c r="D94" s="2"/>
      <c r="E94" s="2"/>
      <c r="F94" s="170">
        <f t="shared" ref="F94" si="72">ROUND(SUM(F92:F93),5)</f>
        <v>7752986.5999999996</v>
      </c>
      <c r="G94" s="170">
        <f t="shared" ref="G94" si="73">ROUND(SUM(G92:G93),5)</f>
        <v>8425095.0800000001</v>
      </c>
      <c r="H94" s="170">
        <f t="shared" ref="H94" si="74">ROUND(SUM(H92:H93),5)</f>
        <v>9097203.5600000005</v>
      </c>
      <c r="I94" s="170">
        <f t="shared" ref="I94" si="75">ROUND(SUM(I92:I93),5)</f>
        <v>9769312.0399999991</v>
      </c>
      <c r="J94" s="170">
        <f t="shared" ref="J94" si="76">ROUND(SUM(J92:J93),5)</f>
        <v>10441420.52</v>
      </c>
      <c r="K94" s="170">
        <f t="shared" ref="K94" si="77">ROUND(SUM(K92:K93),5)</f>
        <v>11113529</v>
      </c>
    </row>
    <row r="95" spans="1:12" x14ac:dyDescent="0.2">
      <c r="A95" s="2"/>
      <c r="B95" s="2"/>
      <c r="C95" s="2" t="s">
        <v>100</v>
      </c>
      <c r="D95" s="2"/>
      <c r="E95" s="2"/>
      <c r="F95" s="170">
        <f t="shared" ref="F95:K95" si="78">F9+F52</f>
        <v>294000</v>
      </c>
      <c r="G95" s="170">
        <f t="shared" si="78"/>
        <v>325200</v>
      </c>
      <c r="H95" s="170">
        <f t="shared" si="78"/>
        <v>356400</v>
      </c>
      <c r="I95" s="170">
        <f t="shared" si="78"/>
        <v>387600</v>
      </c>
      <c r="J95" s="170">
        <f t="shared" si="78"/>
        <v>418800</v>
      </c>
      <c r="K95" s="170">
        <f t="shared" si="78"/>
        <v>450000</v>
      </c>
      <c r="L95" s="181" t="s">
        <v>101</v>
      </c>
    </row>
    <row r="96" spans="1:12" x14ac:dyDescent="0.2">
      <c r="A96" s="2"/>
      <c r="B96" s="2" t="s">
        <v>102</v>
      </c>
      <c r="C96" s="2"/>
      <c r="D96" s="2"/>
      <c r="E96" s="2"/>
      <c r="F96" s="170">
        <f t="shared" ref="F96:K96" si="79">F10+F53</f>
        <v>343000</v>
      </c>
      <c r="G96" s="170">
        <f t="shared" si="79"/>
        <v>379400</v>
      </c>
      <c r="H96" s="170">
        <f t="shared" si="79"/>
        <v>415800</v>
      </c>
      <c r="I96" s="170">
        <f t="shared" si="79"/>
        <v>452200</v>
      </c>
      <c r="J96" s="170">
        <f t="shared" si="79"/>
        <v>488600</v>
      </c>
      <c r="K96" s="170">
        <f t="shared" si="79"/>
        <v>525000</v>
      </c>
      <c r="L96" s="181" t="s">
        <v>103</v>
      </c>
    </row>
    <row r="97" spans="1:12" x14ac:dyDescent="0.2">
      <c r="A97" s="2"/>
      <c r="B97" s="2" t="s">
        <v>104</v>
      </c>
      <c r="C97" s="2"/>
      <c r="D97" s="2"/>
      <c r="E97" s="2"/>
      <c r="F97" s="170">
        <f t="shared" ref="F97:K97" si="80">F11+F54</f>
        <v>49000</v>
      </c>
      <c r="G97" s="170">
        <f t="shared" si="80"/>
        <v>54200</v>
      </c>
      <c r="H97" s="170">
        <f t="shared" si="80"/>
        <v>59400</v>
      </c>
      <c r="I97" s="170">
        <f t="shared" si="80"/>
        <v>64600</v>
      </c>
      <c r="J97" s="170">
        <f t="shared" si="80"/>
        <v>69800</v>
      </c>
      <c r="K97" s="170">
        <f t="shared" si="80"/>
        <v>75000</v>
      </c>
      <c r="L97" t="s">
        <v>105</v>
      </c>
    </row>
    <row r="98" spans="1:12" x14ac:dyDescent="0.2">
      <c r="A98" s="2"/>
      <c r="B98" s="2" t="s">
        <v>106</v>
      </c>
      <c r="C98" s="2"/>
      <c r="D98" s="2"/>
      <c r="E98" s="2"/>
      <c r="F98" s="170">
        <f t="shared" ref="F98:K98" si="81">F12+F55</f>
        <v>87500</v>
      </c>
      <c r="G98" s="170">
        <f t="shared" si="81"/>
        <v>87500</v>
      </c>
      <c r="H98" s="170">
        <f t="shared" si="81"/>
        <v>87500</v>
      </c>
      <c r="I98" s="170">
        <f t="shared" si="81"/>
        <v>87500</v>
      </c>
      <c r="J98" s="170">
        <f t="shared" si="81"/>
        <v>87500</v>
      </c>
      <c r="K98" s="170">
        <f t="shared" si="81"/>
        <v>87500</v>
      </c>
      <c r="L98" s="181" t="s">
        <v>157</v>
      </c>
    </row>
    <row r="99" spans="1:12" x14ac:dyDescent="0.2">
      <c r="A99" s="2"/>
      <c r="B99" s="2" t="s">
        <v>108</v>
      </c>
      <c r="C99" s="2"/>
      <c r="D99" s="2"/>
      <c r="E99" s="2"/>
      <c r="F99" s="170">
        <f t="shared" ref="F99:K99" si="82">F13+F56</f>
        <v>56000</v>
      </c>
      <c r="G99" s="170">
        <f t="shared" si="82"/>
        <v>57300</v>
      </c>
      <c r="H99" s="170">
        <f t="shared" si="82"/>
        <v>58600</v>
      </c>
      <c r="I99" s="170">
        <f t="shared" si="82"/>
        <v>59900</v>
      </c>
      <c r="J99" s="170">
        <f t="shared" si="82"/>
        <v>61200</v>
      </c>
      <c r="K99" s="170">
        <f t="shared" si="82"/>
        <v>62500</v>
      </c>
      <c r="L99" s="181" t="s">
        <v>158</v>
      </c>
    </row>
    <row r="100" spans="1:12" x14ac:dyDescent="0.2">
      <c r="A100" s="2"/>
      <c r="B100" s="2" t="s">
        <v>110</v>
      </c>
      <c r="C100" s="2"/>
      <c r="D100" s="2"/>
      <c r="E100" s="2"/>
      <c r="F100" s="170">
        <f t="shared" ref="F100:K100" si="83">F14+F57</f>
        <v>347900</v>
      </c>
      <c r="G100" s="170">
        <f t="shared" si="83"/>
        <v>384820</v>
      </c>
      <c r="H100" s="170">
        <f t="shared" si="83"/>
        <v>421740</v>
      </c>
      <c r="I100" s="170">
        <f t="shared" si="83"/>
        <v>458660</v>
      </c>
      <c r="J100" s="170">
        <f t="shared" si="83"/>
        <v>495580</v>
      </c>
      <c r="K100" s="170">
        <f t="shared" si="83"/>
        <v>532500</v>
      </c>
      <c r="L100" t="s">
        <v>111</v>
      </c>
    </row>
    <row r="101" spans="1:12" x14ac:dyDescent="0.2">
      <c r="A101" s="2"/>
      <c r="B101" s="2"/>
      <c r="C101" s="2"/>
      <c r="D101" s="2"/>
      <c r="E101" s="2" t="s">
        <v>112</v>
      </c>
      <c r="F101" s="170">
        <f t="shared" ref="F101:K101" si="84">F15+F58</f>
        <v>500000</v>
      </c>
      <c r="G101" s="170">
        <f t="shared" si="84"/>
        <v>500000</v>
      </c>
      <c r="H101" s="170">
        <f t="shared" si="84"/>
        <v>500000</v>
      </c>
      <c r="I101" s="170">
        <f t="shared" si="84"/>
        <v>500000</v>
      </c>
      <c r="J101" s="170">
        <f t="shared" si="84"/>
        <v>500000</v>
      </c>
      <c r="K101" s="170">
        <f t="shared" si="84"/>
        <v>500000</v>
      </c>
    </row>
    <row r="102" spans="1:12" x14ac:dyDescent="0.2">
      <c r="A102" s="2"/>
      <c r="B102" s="2"/>
      <c r="C102" s="2"/>
      <c r="D102" s="2"/>
      <c r="E102" s="2" t="s">
        <v>113</v>
      </c>
      <c r="F102" s="170">
        <f t="shared" ref="F102:K102" si="85">F16+F59</f>
        <v>49000</v>
      </c>
      <c r="G102" s="170">
        <f t="shared" si="85"/>
        <v>54200</v>
      </c>
      <c r="H102" s="170">
        <f t="shared" si="85"/>
        <v>59400</v>
      </c>
      <c r="I102" s="170">
        <f t="shared" si="85"/>
        <v>64600</v>
      </c>
      <c r="J102" s="170">
        <f t="shared" si="85"/>
        <v>69800</v>
      </c>
      <c r="K102" s="170">
        <f t="shared" si="85"/>
        <v>75000</v>
      </c>
      <c r="L102" t="s">
        <v>105</v>
      </c>
    </row>
    <row r="103" spans="1:12" x14ac:dyDescent="0.2">
      <c r="A103" s="2"/>
      <c r="B103" s="2"/>
      <c r="C103" s="2"/>
      <c r="D103" s="2"/>
      <c r="E103" s="2" t="s">
        <v>114</v>
      </c>
      <c r="F103" s="170">
        <f t="shared" ref="F103:K103" si="86">F17+F60</f>
        <v>24500</v>
      </c>
      <c r="G103" s="170">
        <f t="shared" si="86"/>
        <v>27100</v>
      </c>
      <c r="H103" s="170">
        <f t="shared" si="86"/>
        <v>29700</v>
      </c>
      <c r="I103" s="170">
        <f t="shared" si="86"/>
        <v>32300</v>
      </c>
      <c r="J103" s="170">
        <f t="shared" si="86"/>
        <v>34900</v>
      </c>
      <c r="K103" s="170">
        <f t="shared" si="86"/>
        <v>37500</v>
      </c>
      <c r="L103" s="181" t="s">
        <v>115</v>
      </c>
    </row>
    <row r="104" spans="1:12" x14ac:dyDescent="0.2">
      <c r="A104" s="2"/>
      <c r="B104" s="2" t="s">
        <v>116</v>
      </c>
      <c r="C104" s="2"/>
      <c r="D104" s="2"/>
      <c r="E104" s="2"/>
      <c r="F104" s="170">
        <f t="shared" ref="F104:K104" si="87">F18+F61</f>
        <v>340550</v>
      </c>
      <c r="G104" s="170">
        <f t="shared" si="87"/>
        <v>376690</v>
      </c>
      <c r="H104" s="170">
        <f t="shared" si="87"/>
        <v>412830</v>
      </c>
      <c r="I104" s="170">
        <f t="shared" si="87"/>
        <v>448970</v>
      </c>
      <c r="J104" s="170">
        <f t="shared" si="87"/>
        <v>485110</v>
      </c>
      <c r="K104" s="170">
        <f t="shared" si="87"/>
        <v>521250</v>
      </c>
      <c r="L104" t="s">
        <v>117</v>
      </c>
    </row>
    <row r="105" spans="1:12" ht="13.5" thickBot="1" x14ac:dyDescent="0.25">
      <c r="B105" s="2"/>
      <c r="C105" s="2" t="s">
        <v>118</v>
      </c>
      <c r="D105" s="2"/>
      <c r="E105" s="2"/>
      <c r="F105" s="189">
        <f>SUM(F94:F104)</f>
        <v>9844436.5999999996</v>
      </c>
      <c r="G105" s="189">
        <f t="shared" ref="G105:K105" si="88">SUM(G94:G104)</f>
        <v>10671505.08</v>
      </c>
      <c r="H105" s="189">
        <f t="shared" si="88"/>
        <v>11498573.560000001</v>
      </c>
      <c r="I105" s="189">
        <f t="shared" si="88"/>
        <v>12325642.039999999</v>
      </c>
      <c r="J105" s="189">
        <f t="shared" si="88"/>
        <v>13152710.52</v>
      </c>
      <c r="K105" s="189">
        <f t="shared" si="88"/>
        <v>13979779</v>
      </c>
    </row>
    <row r="106" spans="1:12" x14ac:dyDescent="0.2">
      <c r="A106" s="2"/>
      <c r="B106" s="2" t="s">
        <v>119</v>
      </c>
      <c r="C106" s="2"/>
      <c r="D106" s="2"/>
      <c r="E106" s="2"/>
      <c r="F106" s="170">
        <f t="shared" ref="F106:K106" si="89">F105</f>
        <v>9844436.5999999996</v>
      </c>
      <c r="G106" s="170">
        <f t="shared" si="89"/>
        <v>10671505.08</v>
      </c>
      <c r="H106" s="170">
        <f t="shared" si="89"/>
        <v>11498573.560000001</v>
      </c>
      <c r="I106" s="170">
        <f t="shared" si="89"/>
        <v>12325642.039999999</v>
      </c>
      <c r="J106" s="170">
        <f t="shared" si="89"/>
        <v>13152710.52</v>
      </c>
      <c r="K106" s="170">
        <f t="shared" si="89"/>
        <v>13979779</v>
      </c>
    </row>
    <row r="107" spans="1:12" x14ac:dyDescent="0.2">
      <c r="A107" s="2"/>
      <c r="B107" s="2" t="s">
        <v>120</v>
      </c>
      <c r="C107" s="2"/>
      <c r="D107" s="2"/>
      <c r="E107" s="2"/>
      <c r="F107" s="170"/>
      <c r="G107" s="170"/>
      <c r="H107" s="170"/>
      <c r="I107" s="170"/>
      <c r="J107" s="170"/>
      <c r="K107" s="170"/>
    </row>
    <row r="108" spans="1:12" x14ac:dyDescent="0.2">
      <c r="A108" s="3"/>
      <c r="B108" s="3"/>
      <c r="C108" s="3"/>
      <c r="D108" s="3"/>
      <c r="E108" s="2" t="s">
        <v>121</v>
      </c>
      <c r="F108" s="170">
        <f t="shared" ref="F108:K108" si="90">F22+F65</f>
        <v>4835800</v>
      </c>
      <c r="G108" s="170">
        <f t="shared" si="90"/>
        <v>5169220</v>
      </c>
      <c r="H108" s="170">
        <f t="shared" si="90"/>
        <v>5541973</v>
      </c>
      <c r="I108" s="170">
        <f t="shared" si="90"/>
        <v>5844488.9900000002</v>
      </c>
      <c r="J108" s="170">
        <f t="shared" si="90"/>
        <v>6266160.8596999999</v>
      </c>
      <c r="K108" s="170">
        <f t="shared" si="90"/>
        <v>6589813.2854909999</v>
      </c>
    </row>
    <row r="109" spans="1:12" x14ac:dyDescent="0.2">
      <c r="A109" s="2"/>
      <c r="B109" s="2"/>
      <c r="C109" s="2" t="s">
        <v>122</v>
      </c>
      <c r="D109" s="2"/>
      <c r="E109" s="2"/>
      <c r="F109" s="170">
        <f t="shared" ref="F109:K109" si="91">F23+F66</f>
        <v>967160</v>
      </c>
      <c r="G109" s="170">
        <f t="shared" si="91"/>
        <v>1033844</v>
      </c>
      <c r="H109" s="170">
        <f t="shared" si="91"/>
        <v>1108394.6000000001</v>
      </c>
      <c r="I109" s="170">
        <f t="shared" si="91"/>
        <v>1168897.798</v>
      </c>
      <c r="J109" s="170">
        <f t="shared" si="91"/>
        <v>1253232.17194</v>
      </c>
      <c r="K109" s="170">
        <f t="shared" si="91"/>
        <v>1317962.6570982002</v>
      </c>
      <c r="L109" t="s">
        <v>123</v>
      </c>
    </row>
    <row r="110" spans="1:12" x14ac:dyDescent="0.2">
      <c r="A110" s="2"/>
      <c r="B110" s="2"/>
      <c r="C110" s="2" t="s">
        <v>124</v>
      </c>
      <c r="D110" s="2"/>
      <c r="E110" s="2"/>
      <c r="F110" s="170">
        <f t="shared" ref="F110:K110" si="92">F24+F67</f>
        <v>190330</v>
      </c>
      <c r="G110" s="170">
        <f t="shared" si="92"/>
        <v>223672</v>
      </c>
      <c r="H110" s="170">
        <f t="shared" si="92"/>
        <v>260947.30000000002</v>
      </c>
      <c r="I110" s="170">
        <f t="shared" si="92"/>
        <v>291198.89899999998</v>
      </c>
      <c r="J110" s="170">
        <f t="shared" si="92"/>
        <v>333366.08597000001</v>
      </c>
      <c r="K110" s="170">
        <f t="shared" si="92"/>
        <v>365731.32854910003</v>
      </c>
      <c r="L110" t="s">
        <v>125</v>
      </c>
    </row>
    <row r="111" spans="1:12" x14ac:dyDescent="0.2">
      <c r="A111" s="2"/>
      <c r="B111" s="2" t="s">
        <v>126</v>
      </c>
      <c r="C111" s="2"/>
      <c r="D111" s="2"/>
      <c r="E111" s="2"/>
      <c r="F111" s="170">
        <f t="shared" ref="F111:K111" si="93">F25+F68</f>
        <v>5993290</v>
      </c>
      <c r="G111" s="170">
        <f t="shared" si="93"/>
        <v>6426736</v>
      </c>
      <c r="H111" s="170">
        <f t="shared" si="93"/>
        <v>6911314.9000000004</v>
      </c>
      <c r="I111" s="170">
        <f t="shared" si="93"/>
        <v>7304585.6870000008</v>
      </c>
      <c r="J111" s="170">
        <f t="shared" si="93"/>
        <v>7852759.1176100001</v>
      </c>
      <c r="K111" s="170">
        <f t="shared" si="93"/>
        <v>8273507.2711383002</v>
      </c>
    </row>
    <row r="112" spans="1:12" x14ac:dyDescent="0.2">
      <c r="A112" s="2"/>
      <c r="B112" s="2" t="s">
        <v>127</v>
      </c>
      <c r="C112" s="2"/>
      <c r="D112" s="2"/>
      <c r="E112" s="2"/>
      <c r="F112" s="170">
        <f t="shared" ref="F112:K112" si="94">F26+F69</f>
        <v>980000</v>
      </c>
      <c r="G112" s="170">
        <f t="shared" si="94"/>
        <v>1084000</v>
      </c>
      <c r="H112" s="170">
        <f t="shared" si="94"/>
        <v>1188000</v>
      </c>
      <c r="I112" s="170">
        <f t="shared" si="94"/>
        <v>1292000</v>
      </c>
      <c r="J112" s="170">
        <f t="shared" si="94"/>
        <v>1396000</v>
      </c>
      <c r="K112" s="170">
        <f t="shared" si="94"/>
        <v>1500000</v>
      </c>
      <c r="L112" t="s">
        <v>128</v>
      </c>
    </row>
    <row r="113" spans="1:12" x14ac:dyDescent="0.2">
      <c r="A113" s="2"/>
      <c r="B113" s="2" t="s">
        <v>129</v>
      </c>
      <c r="C113" s="2"/>
      <c r="D113" s="2"/>
      <c r="E113" s="2"/>
      <c r="F113" s="170"/>
      <c r="G113" s="170"/>
      <c r="H113" s="170"/>
      <c r="I113" s="170"/>
      <c r="J113" s="170"/>
      <c r="K113" s="170"/>
    </row>
    <row r="114" spans="1:12" x14ac:dyDescent="0.2">
      <c r="A114" s="2"/>
      <c r="B114" s="2"/>
      <c r="C114" s="2" t="s">
        <v>159</v>
      </c>
      <c r="D114" s="2"/>
      <c r="E114" s="2"/>
      <c r="F114" s="170">
        <f t="shared" ref="F114:K114" si="95">F28+F71</f>
        <v>830000</v>
      </c>
      <c r="G114" s="170">
        <f t="shared" si="95"/>
        <v>930000</v>
      </c>
      <c r="H114" s="170">
        <f t="shared" si="95"/>
        <v>1030000</v>
      </c>
      <c r="I114" s="170">
        <f t="shared" si="95"/>
        <v>1130000</v>
      </c>
      <c r="J114" s="170">
        <f t="shared" si="95"/>
        <v>1230000</v>
      </c>
      <c r="K114" s="170">
        <f t="shared" si="95"/>
        <v>1330000</v>
      </c>
    </row>
    <row r="115" spans="1:12" x14ac:dyDescent="0.2">
      <c r="A115" s="2"/>
      <c r="B115" s="2"/>
      <c r="C115" s="2" t="s">
        <v>132</v>
      </c>
      <c r="D115" s="2"/>
      <c r="E115" s="2"/>
      <c r="F115" s="170">
        <f t="shared" ref="F115:K115" si="96">F29+F72</f>
        <v>127500</v>
      </c>
      <c r="G115" s="170">
        <f t="shared" si="96"/>
        <v>140000</v>
      </c>
      <c r="H115" s="170">
        <f t="shared" si="96"/>
        <v>152500</v>
      </c>
      <c r="I115" s="170">
        <f t="shared" si="96"/>
        <v>165000</v>
      </c>
      <c r="J115" s="170">
        <f t="shared" si="96"/>
        <v>177500</v>
      </c>
      <c r="K115" s="170">
        <f t="shared" si="96"/>
        <v>190000</v>
      </c>
    </row>
    <row r="116" spans="1:12" x14ac:dyDescent="0.2">
      <c r="A116" s="2"/>
      <c r="B116" s="2"/>
      <c r="C116" s="2" t="s">
        <v>134</v>
      </c>
      <c r="D116" s="2"/>
      <c r="E116" s="2"/>
      <c r="F116" s="170">
        <f t="shared" ref="F116:K116" si="97">F30+F73</f>
        <v>275000</v>
      </c>
      <c r="G116" s="170">
        <f t="shared" si="97"/>
        <v>290000</v>
      </c>
      <c r="H116" s="170">
        <f t="shared" si="97"/>
        <v>305000</v>
      </c>
      <c r="I116" s="170">
        <f t="shared" si="97"/>
        <v>320000</v>
      </c>
      <c r="J116" s="170">
        <f t="shared" si="97"/>
        <v>335000</v>
      </c>
      <c r="K116" s="170">
        <f t="shared" si="97"/>
        <v>350000</v>
      </c>
    </row>
    <row r="117" spans="1:12" x14ac:dyDescent="0.2">
      <c r="A117" s="2"/>
      <c r="B117" s="2" t="s">
        <v>136</v>
      </c>
      <c r="C117" s="2"/>
      <c r="D117" s="2"/>
      <c r="E117" s="2"/>
      <c r="F117" s="170">
        <f t="shared" ref="F117:K117" si="98">F31+F74</f>
        <v>1232500</v>
      </c>
      <c r="G117" s="170">
        <f t="shared" si="98"/>
        <v>1360000</v>
      </c>
      <c r="H117" s="170">
        <f t="shared" si="98"/>
        <v>1487500</v>
      </c>
      <c r="I117" s="170">
        <f t="shared" si="98"/>
        <v>1615000</v>
      </c>
      <c r="J117" s="170">
        <f t="shared" si="98"/>
        <v>1742500</v>
      </c>
      <c r="K117" s="170">
        <f t="shared" si="98"/>
        <v>1870000</v>
      </c>
    </row>
    <row r="118" spans="1:12" x14ac:dyDescent="0.2">
      <c r="A118" s="2"/>
      <c r="B118" s="2" t="s">
        <v>137</v>
      </c>
      <c r="C118" s="2"/>
      <c r="D118" s="2"/>
      <c r="E118" s="2"/>
      <c r="F118" s="170">
        <f t="shared" ref="F118:K118" si="99">F32+F75</f>
        <v>392000</v>
      </c>
      <c r="G118" s="170">
        <f t="shared" si="99"/>
        <v>433600</v>
      </c>
      <c r="H118" s="170">
        <f t="shared" si="99"/>
        <v>475200</v>
      </c>
      <c r="I118" s="170">
        <f t="shared" si="99"/>
        <v>516800</v>
      </c>
      <c r="J118" s="170">
        <f t="shared" si="99"/>
        <v>558400</v>
      </c>
      <c r="K118" s="170">
        <f t="shared" si="99"/>
        <v>600000</v>
      </c>
      <c r="L118" t="s">
        <v>138</v>
      </c>
    </row>
    <row r="119" spans="1:12" x14ac:dyDescent="0.2">
      <c r="A119" s="2"/>
      <c r="B119" s="2" t="s">
        <v>139</v>
      </c>
      <c r="C119" s="2"/>
      <c r="D119" s="2"/>
      <c r="E119" s="2"/>
      <c r="F119" s="170"/>
      <c r="G119" s="170"/>
      <c r="H119" s="170"/>
      <c r="I119" s="170"/>
      <c r="J119" s="170"/>
      <c r="K119" s="170"/>
    </row>
    <row r="120" spans="1:12" x14ac:dyDescent="0.2">
      <c r="A120" s="2"/>
      <c r="B120" s="2"/>
      <c r="C120" s="2" t="s">
        <v>140</v>
      </c>
      <c r="D120" s="2"/>
      <c r="E120" s="2"/>
      <c r="F120" s="170">
        <f t="shared" ref="F120:K120" si="100">F34+F77</f>
        <v>29400</v>
      </c>
      <c r="G120" s="170">
        <f t="shared" si="100"/>
        <v>32520</v>
      </c>
      <c r="H120" s="170">
        <f t="shared" si="100"/>
        <v>35640</v>
      </c>
      <c r="I120" s="170">
        <f t="shared" si="100"/>
        <v>38760</v>
      </c>
      <c r="J120" s="170">
        <f t="shared" si="100"/>
        <v>41880</v>
      </c>
      <c r="K120" s="170">
        <f t="shared" si="100"/>
        <v>45000</v>
      </c>
      <c r="L120" t="s">
        <v>141</v>
      </c>
    </row>
    <row r="121" spans="1:12" x14ac:dyDescent="0.2">
      <c r="A121" s="2"/>
      <c r="B121" s="2"/>
      <c r="C121" s="2"/>
      <c r="D121" s="2"/>
      <c r="E121" s="2" t="s">
        <v>142</v>
      </c>
      <c r="F121" s="170">
        <f t="shared" ref="F121:K121" si="101">F35+F78</f>
        <v>350000</v>
      </c>
      <c r="G121" s="170">
        <f t="shared" si="101"/>
        <v>350000</v>
      </c>
      <c r="H121" s="170">
        <f t="shared" si="101"/>
        <v>350000</v>
      </c>
      <c r="I121" s="170">
        <f t="shared" si="101"/>
        <v>350000</v>
      </c>
      <c r="J121" s="170">
        <f t="shared" si="101"/>
        <v>350000</v>
      </c>
      <c r="K121" s="170">
        <f t="shared" si="101"/>
        <v>350000</v>
      </c>
    </row>
    <row r="122" spans="1:12" x14ac:dyDescent="0.2">
      <c r="A122" s="2"/>
      <c r="B122" s="2"/>
      <c r="C122" s="2" t="s">
        <v>143</v>
      </c>
      <c r="D122" s="2"/>
      <c r="E122" s="2"/>
      <c r="F122" s="170">
        <f t="shared" ref="F122:K122" si="102">F36+F79</f>
        <v>19600</v>
      </c>
      <c r="G122" s="170">
        <f t="shared" si="102"/>
        <v>21680</v>
      </c>
      <c r="H122" s="170">
        <f t="shared" si="102"/>
        <v>23760</v>
      </c>
      <c r="I122" s="170">
        <f t="shared" si="102"/>
        <v>25840</v>
      </c>
      <c r="J122" s="170">
        <f t="shared" si="102"/>
        <v>27920</v>
      </c>
      <c r="K122" s="170">
        <f t="shared" si="102"/>
        <v>30000</v>
      </c>
      <c r="L122" t="s">
        <v>144</v>
      </c>
    </row>
    <row r="123" spans="1:12" x14ac:dyDescent="0.2">
      <c r="A123" s="2"/>
      <c r="B123" s="2"/>
      <c r="C123" s="2" t="s">
        <v>145</v>
      </c>
      <c r="D123" s="2"/>
      <c r="E123" s="2"/>
      <c r="F123" s="170">
        <f t="shared" ref="F123:K123" si="103">F37+F80</f>
        <v>105350</v>
      </c>
      <c r="G123" s="170">
        <f t="shared" si="103"/>
        <v>116530</v>
      </c>
      <c r="H123" s="170">
        <f t="shared" si="103"/>
        <v>127710</v>
      </c>
      <c r="I123" s="170">
        <f t="shared" si="103"/>
        <v>138890</v>
      </c>
      <c r="J123" s="170">
        <f t="shared" si="103"/>
        <v>150070</v>
      </c>
      <c r="K123" s="170">
        <f t="shared" si="103"/>
        <v>161250</v>
      </c>
      <c r="L123" t="s">
        <v>146</v>
      </c>
    </row>
    <row r="124" spans="1:12" x14ac:dyDescent="0.2">
      <c r="A124" s="2"/>
      <c r="B124" s="2"/>
      <c r="C124" s="2" t="s">
        <v>147</v>
      </c>
      <c r="D124" s="2"/>
      <c r="E124" s="2"/>
      <c r="F124" s="170">
        <f t="shared" ref="F124:K124" si="104">F38+F81</f>
        <v>22050</v>
      </c>
      <c r="G124" s="170">
        <f t="shared" si="104"/>
        <v>24390</v>
      </c>
      <c r="H124" s="170">
        <f t="shared" si="104"/>
        <v>26730</v>
      </c>
      <c r="I124" s="170">
        <f t="shared" si="104"/>
        <v>29070</v>
      </c>
      <c r="J124" s="170">
        <f t="shared" si="104"/>
        <v>31410</v>
      </c>
      <c r="K124" s="170">
        <f t="shared" si="104"/>
        <v>33750</v>
      </c>
      <c r="L124" t="s">
        <v>148</v>
      </c>
    </row>
    <row r="125" spans="1:12" x14ac:dyDescent="0.2">
      <c r="A125" s="2"/>
      <c r="B125" s="2"/>
      <c r="C125" s="2" t="s">
        <v>149</v>
      </c>
      <c r="D125" s="2"/>
      <c r="E125" s="2"/>
      <c r="F125" s="170">
        <f t="shared" ref="F125:K125" si="105">F39+F82</f>
        <v>98444.366000000009</v>
      </c>
      <c r="G125" s="170">
        <f t="shared" si="105"/>
        <v>106715.0508</v>
      </c>
      <c r="H125" s="170">
        <f t="shared" si="105"/>
        <v>114985.73560000001</v>
      </c>
      <c r="I125" s="170">
        <f t="shared" si="105"/>
        <v>123256.4204</v>
      </c>
      <c r="J125" s="170">
        <f t="shared" si="105"/>
        <v>131527.10519999999</v>
      </c>
      <c r="K125" s="170">
        <f t="shared" si="105"/>
        <v>139797.79</v>
      </c>
      <c r="L125" t="s">
        <v>150</v>
      </c>
    </row>
    <row r="126" spans="1:12" ht="13.5" thickBot="1" x14ac:dyDescent="0.25">
      <c r="A126" s="2"/>
      <c r="B126" s="2"/>
      <c r="C126" s="2" t="s">
        <v>151</v>
      </c>
      <c r="D126" s="2"/>
      <c r="E126" s="2"/>
      <c r="F126" s="170">
        <f t="shared" ref="F126:K126" si="106">F40+F83</f>
        <v>17500</v>
      </c>
      <c r="G126" s="170">
        <f t="shared" si="106"/>
        <v>22700</v>
      </c>
      <c r="H126" s="170">
        <f t="shared" si="106"/>
        <v>27900</v>
      </c>
      <c r="I126" s="170">
        <f t="shared" si="106"/>
        <v>33100</v>
      </c>
      <c r="J126" s="170">
        <f t="shared" si="106"/>
        <v>38300</v>
      </c>
      <c r="K126" s="170">
        <f t="shared" si="106"/>
        <v>43500</v>
      </c>
      <c r="L126" s="181" t="s">
        <v>160</v>
      </c>
    </row>
    <row r="127" spans="1:12" ht="13.5" thickBot="1" x14ac:dyDescent="0.25">
      <c r="A127" s="2"/>
      <c r="B127" s="2" t="s">
        <v>152</v>
      </c>
      <c r="C127" s="2"/>
      <c r="D127" s="2"/>
      <c r="E127" s="2"/>
      <c r="F127" s="176">
        <f>SUM(F120:F126)</f>
        <v>642344.36600000004</v>
      </c>
      <c r="G127" s="176">
        <f t="shared" ref="G127:K127" si="107">SUM(G120:G126)</f>
        <v>674535.05079999997</v>
      </c>
      <c r="H127" s="176">
        <f t="shared" si="107"/>
        <v>706725.73560000001</v>
      </c>
      <c r="I127" s="176">
        <f t="shared" si="107"/>
        <v>738916.42039999994</v>
      </c>
      <c r="J127" s="176">
        <f t="shared" si="107"/>
        <v>771107.10519999999</v>
      </c>
      <c r="K127" s="176">
        <f t="shared" si="107"/>
        <v>803297.79</v>
      </c>
    </row>
    <row r="128" spans="1:12" ht="13.5" thickBot="1" x14ac:dyDescent="0.25">
      <c r="B128" s="2" t="s">
        <v>153</v>
      </c>
      <c r="C128" s="2"/>
      <c r="D128" s="2"/>
      <c r="E128" s="2"/>
      <c r="F128" s="173">
        <f t="shared" ref="F128" si="108">ROUND(F107+F111+F112+F117+F118+F127,5)</f>
        <v>9240134.3660000004</v>
      </c>
      <c r="G128" s="173">
        <f t="shared" ref="G128" si="109">ROUND(G107+G111+G112+G117+G118+G127,5)</f>
        <v>9978871.0507999994</v>
      </c>
      <c r="H128" s="173">
        <f t="shared" ref="H128" si="110">ROUND(H107+H111+H112+H117+H118+H127,5)</f>
        <v>10768740.635600001</v>
      </c>
      <c r="I128" s="173">
        <f t="shared" ref="I128" si="111">ROUND(I107+I111+I112+I117+I118+I127,5)</f>
        <v>11467302.1074</v>
      </c>
      <c r="J128" s="173">
        <f t="shared" ref="J128" si="112">ROUND(J107+J111+J112+J117+J118+J127,5)</f>
        <v>12320766.22281</v>
      </c>
      <c r="K128" s="173">
        <f t="shared" ref="K128" si="113">ROUND(K107+K111+K112+K117+K118+K127,5)</f>
        <v>13046805.061140001</v>
      </c>
    </row>
    <row r="129" spans="2:11" ht="13.5" thickBot="1" x14ac:dyDescent="0.25">
      <c r="B129" s="2" t="s">
        <v>154</v>
      </c>
      <c r="C129" s="2"/>
      <c r="D129" s="2"/>
      <c r="E129" s="2"/>
      <c r="F129" s="177">
        <f t="shared" ref="F129" si="114">ROUND(F106-F128,5)</f>
        <v>604302.23400000005</v>
      </c>
      <c r="G129" s="177">
        <f t="shared" ref="G129" si="115">ROUND(G106-G128,5)</f>
        <v>692634.02919999999</v>
      </c>
      <c r="H129" s="177">
        <f t="shared" ref="H129" si="116">ROUND(H106-H128,5)</f>
        <v>729832.92440000002</v>
      </c>
      <c r="I129" s="177">
        <f t="shared" ref="I129" si="117">ROUND(I106-I128,5)</f>
        <v>858339.93259999994</v>
      </c>
      <c r="J129" s="177">
        <f t="shared" ref="J129" si="118">ROUND(J106-J128,5)</f>
        <v>831944.29718999995</v>
      </c>
      <c r="K129" s="177">
        <f t="shared" ref="K129" si="119">ROUND(K106-K128,5)</f>
        <v>932973.93885999999</v>
      </c>
    </row>
    <row r="130" spans="2:11" ht="13.5" thickTop="1" x14ac:dyDescent="0.2"/>
  </sheetData>
  <printOptions gridLines="1"/>
  <pageMargins left="0" right="0" top="0.75" bottom="0" header="0.3" footer="0.3"/>
  <pageSetup orientation="landscape" r:id="rId1"/>
  <headerFooter>
    <oddHeader>&amp;CE W Stokes Multi Year Expansion Budget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pane xSplit="2" ySplit="2" topLeftCell="C9" activePane="bottomRight" state="frozen"/>
      <selection pane="topRight" activeCell="D1" sqref="D1"/>
      <selection pane="bottomLeft" activeCell="A2" sqref="A2"/>
      <selection pane="bottomRight" activeCell="Q1" sqref="Q1"/>
    </sheetView>
  </sheetViews>
  <sheetFormatPr defaultRowHeight="12.75" x14ac:dyDescent="0.2"/>
  <cols>
    <col min="1" max="1" width="15.28515625" style="9" bestFit="1" customWidth="1"/>
    <col min="2" max="2" width="23" style="9" bestFit="1" customWidth="1"/>
    <col min="3" max="8" width="12.42578125" style="9" bestFit="1" customWidth="1"/>
    <col min="9" max="14" width="9.140625" style="9"/>
    <col min="15" max="15" width="10.28515625" style="9" bestFit="1" customWidth="1"/>
    <col min="16" max="189" width="9.140625" style="9"/>
    <col min="190" max="190" width="15.28515625" style="9" bestFit="1" customWidth="1"/>
    <col min="191" max="191" width="17.140625" style="9" customWidth="1"/>
    <col min="192" max="192" width="28" style="9" customWidth="1"/>
    <col min="193" max="193" width="2.7109375" style="9" bestFit="1" customWidth="1"/>
    <col min="194" max="194" width="0" style="9" hidden="1" customWidth="1"/>
    <col min="195" max="199" width="12.42578125" style="9" customWidth="1"/>
    <col min="200" max="200" width="9.5703125" style="9" customWidth="1"/>
    <col min="201" max="201" width="12.42578125" style="9" customWidth="1"/>
    <col min="202" max="202" width="9.85546875" style="9" customWidth="1"/>
    <col min="203" max="203" width="0" style="9" hidden="1" customWidth="1"/>
    <col min="204" max="205" width="11.42578125" style="9" customWidth="1"/>
    <col min="206" max="206" width="8.7109375" style="9" customWidth="1"/>
    <col min="207" max="207" width="0" style="9" hidden="1" customWidth="1"/>
    <col min="208" max="209" width="8" style="9" customWidth="1"/>
    <col min="210" max="211" width="9.28515625" style="9" customWidth="1"/>
    <col min="212" max="212" width="20.7109375" style="9" customWidth="1"/>
    <col min="213" max="213" width="18.42578125" style="9" customWidth="1"/>
    <col min="214" max="215" width="12.85546875" style="9" customWidth="1"/>
    <col min="216" max="216" width="9" style="9" customWidth="1"/>
    <col min="217" max="217" width="10.85546875" style="9" bestFit="1" customWidth="1"/>
    <col min="218" max="218" width="11.28515625" style="9" customWidth="1"/>
    <col min="219" max="219" width="12.5703125" style="9" customWidth="1"/>
    <col min="220" max="220" width="12.42578125" style="9" customWidth="1"/>
    <col min="221" max="221" width="5" style="9" customWidth="1"/>
    <col min="222" max="222" width="16" style="9" customWidth="1"/>
    <col min="223" max="223" width="18.85546875" style="9" customWidth="1"/>
    <col min="224" max="224" width="16.28515625" style="9" customWidth="1"/>
    <col min="225" max="227" width="10.5703125" style="9" customWidth="1"/>
    <col min="228" max="229" width="12.42578125" style="9" customWidth="1"/>
    <col min="230" max="230" width="9.85546875" style="9" customWidth="1"/>
    <col min="231" max="231" width="16.28515625" style="9" customWidth="1"/>
    <col min="232" max="232" width="17.85546875" style="9" customWidth="1"/>
    <col min="233" max="233" width="16.28515625" style="9" customWidth="1"/>
    <col min="234" max="234" width="17.85546875" style="9" customWidth="1"/>
    <col min="235" max="235" width="16.28515625" style="9" customWidth="1"/>
    <col min="236" max="236" width="10.28515625" style="9" customWidth="1"/>
    <col min="237" max="237" width="9.7109375" style="9" customWidth="1"/>
    <col min="238" max="238" width="11.42578125" style="9" customWidth="1"/>
    <col min="239" max="239" width="10.85546875" style="9" customWidth="1"/>
    <col min="240" max="240" width="14.5703125" style="9" customWidth="1"/>
    <col min="241" max="241" width="9.28515625" style="9" customWidth="1"/>
    <col min="242" max="242" width="11.42578125" style="9" customWidth="1"/>
    <col min="243" max="243" width="10.42578125" style="9" customWidth="1"/>
    <col min="244" max="245" width="16.28515625" style="9" customWidth="1"/>
    <col min="246" max="246" width="14.140625" style="9" customWidth="1"/>
    <col min="247" max="247" width="12" style="9" bestFit="1" customWidth="1"/>
    <col min="248" max="248" width="17.85546875" style="9" customWidth="1"/>
    <col min="249" max="249" width="9.140625" style="9"/>
    <col min="250" max="250" width="10.7109375" style="9" bestFit="1" customWidth="1"/>
    <col min="251" max="270" width="9.140625" style="9"/>
    <col min="271" max="271" width="10.28515625" style="9" bestFit="1" customWidth="1"/>
    <col min="272" max="445" width="9.140625" style="9"/>
    <col min="446" max="446" width="15.28515625" style="9" bestFit="1" customWidth="1"/>
    <col min="447" max="447" width="17.140625" style="9" customWidth="1"/>
    <col min="448" max="448" width="28" style="9" customWidth="1"/>
    <col min="449" max="449" width="2.7109375" style="9" bestFit="1" customWidth="1"/>
    <col min="450" max="450" width="0" style="9" hidden="1" customWidth="1"/>
    <col min="451" max="455" width="12.42578125" style="9" customWidth="1"/>
    <col min="456" max="456" width="9.5703125" style="9" customWidth="1"/>
    <col min="457" max="457" width="12.42578125" style="9" customWidth="1"/>
    <col min="458" max="458" width="9.85546875" style="9" customWidth="1"/>
    <col min="459" max="459" width="0" style="9" hidden="1" customWidth="1"/>
    <col min="460" max="461" width="11.42578125" style="9" customWidth="1"/>
    <col min="462" max="462" width="8.7109375" style="9" customWidth="1"/>
    <col min="463" max="463" width="0" style="9" hidden="1" customWidth="1"/>
    <col min="464" max="465" width="8" style="9" customWidth="1"/>
    <col min="466" max="467" width="9.28515625" style="9" customWidth="1"/>
    <col min="468" max="468" width="20.7109375" style="9" customWidth="1"/>
    <col min="469" max="469" width="18.42578125" style="9" customWidth="1"/>
    <col min="470" max="471" width="12.85546875" style="9" customWidth="1"/>
    <col min="472" max="472" width="9" style="9" customWidth="1"/>
    <col min="473" max="473" width="10.85546875" style="9" bestFit="1" customWidth="1"/>
    <col min="474" max="474" width="11.28515625" style="9" customWidth="1"/>
    <col min="475" max="475" width="12.5703125" style="9" customWidth="1"/>
    <col min="476" max="476" width="12.42578125" style="9" customWidth="1"/>
    <col min="477" max="477" width="5" style="9" customWidth="1"/>
    <col min="478" max="478" width="16" style="9" customWidth="1"/>
    <col min="479" max="479" width="18.85546875" style="9" customWidth="1"/>
    <col min="480" max="480" width="16.28515625" style="9" customWidth="1"/>
    <col min="481" max="483" width="10.5703125" style="9" customWidth="1"/>
    <col min="484" max="485" width="12.42578125" style="9" customWidth="1"/>
    <col min="486" max="486" width="9.85546875" style="9" customWidth="1"/>
    <col min="487" max="487" width="16.28515625" style="9" customWidth="1"/>
    <col min="488" max="488" width="17.85546875" style="9" customWidth="1"/>
    <col min="489" max="489" width="16.28515625" style="9" customWidth="1"/>
    <col min="490" max="490" width="17.85546875" style="9" customWidth="1"/>
    <col min="491" max="491" width="16.28515625" style="9" customWidth="1"/>
    <col min="492" max="492" width="10.28515625" style="9" customWidth="1"/>
    <col min="493" max="493" width="9.7109375" style="9" customWidth="1"/>
    <col min="494" max="494" width="11.42578125" style="9" customWidth="1"/>
    <col min="495" max="495" width="10.85546875" style="9" customWidth="1"/>
    <col min="496" max="496" width="14.5703125" style="9" customWidth="1"/>
    <col min="497" max="497" width="9.28515625" style="9" customWidth="1"/>
    <col min="498" max="498" width="11.42578125" style="9" customWidth="1"/>
    <col min="499" max="499" width="10.42578125" style="9" customWidth="1"/>
    <col min="500" max="501" width="16.28515625" style="9" customWidth="1"/>
    <col min="502" max="502" width="14.140625" style="9" customWidth="1"/>
    <col min="503" max="503" width="12" style="9" bestFit="1" customWidth="1"/>
    <col min="504" max="504" width="17.85546875" style="9" customWidth="1"/>
    <col min="505" max="505" width="9.140625" style="9"/>
    <col min="506" max="506" width="10.7109375" style="9" bestFit="1" customWidth="1"/>
    <col min="507" max="526" width="9.140625" style="9"/>
    <col min="527" max="527" width="10.28515625" style="9" bestFit="1" customWidth="1"/>
    <col min="528" max="701" width="9.140625" style="9"/>
    <col min="702" max="702" width="15.28515625" style="9" bestFit="1" customWidth="1"/>
    <col min="703" max="703" width="17.140625" style="9" customWidth="1"/>
    <col min="704" max="704" width="28" style="9" customWidth="1"/>
    <col min="705" max="705" width="2.7109375" style="9" bestFit="1" customWidth="1"/>
    <col min="706" max="706" width="0" style="9" hidden="1" customWidth="1"/>
    <col min="707" max="711" width="12.42578125" style="9" customWidth="1"/>
    <col min="712" max="712" width="9.5703125" style="9" customWidth="1"/>
    <col min="713" max="713" width="12.42578125" style="9" customWidth="1"/>
    <col min="714" max="714" width="9.85546875" style="9" customWidth="1"/>
    <col min="715" max="715" width="0" style="9" hidden="1" customWidth="1"/>
    <col min="716" max="717" width="11.42578125" style="9" customWidth="1"/>
    <col min="718" max="718" width="8.7109375" style="9" customWidth="1"/>
    <col min="719" max="719" width="0" style="9" hidden="1" customWidth="1"/>
    <col min="720" max="721" width="8" style="9" customWidth="1"/>
    <col min="722" max="723" width="9.28515625" style="9" customWidth="1"/>
    <col min="724" max="724" width="20.7109375" style="9" customWidth="1"/>
    <col min="725" max="725" width="18.42578125" style="9" customWidth="1"/>
    <col min="726" max="727" width="12.85546875" style="9" customWidth="1"/>
    <col min="728" max="728" width="9" style="9" customWidth="1"/>
    <col min="729" max="729" width="10.85546875" style="9" bestFit="1" customWidth="1"/>
    <col min="730" max="730" width="11.28515625" style="9" customWidth="1"/>
    <col min="731" max="731" width="12.5703125" style="9" customWidth="1"/>
    <col min="732" max="732" width="12.42578125" style="9" customWidth="1"/>
    <col min="733" max="733" width="5" style="9" customWidth="1"/>
    <col min="734" max="734" width="16" style="9" customWidth="1"/>
    <col min="735" max="735" width="18.85546875" style="9" customWidth="1"/>
    <col min="736" max="736" width="16.28515625" style="9" customWidth="1"/>
    <col min="737" max="739" width="10.5703125" style="9" customWidth="1"/>
    <col min="740" max="741" width="12.42578125" style="9" customWidth="1"/>
    <col min="742" max="742" width="9.85546875" style="9" customWidth="1"/>
    <col min="743" max="743" width="16.28515625" style="9" customWidth="1"/>
    <col min="744" max="744" width="17.85546875" style="9" customWidth="1"/>
    <col min="745" max="745" width="16.28515625" style="9" customWidth="1"/>
    <col min="746" max="746" width="17.85546875" style="9" customWidth="1"/>
    <col min="747" max="747" width="16.28515625" style="9" customWidth="1"/>
    <col min="748" max="748" width="10.28515625" style="9" customWidth="1"/>
    <col min="749" max="749" width="9.7109375" style="9" customWidth="1"/>
    <col min="750" max="750" width="11.42578125" style="9" customWidth="1"/>
    <col min="751" max="751" width="10.85546875" style="9" customWidth="1"/>
    <col min="752" max="752" width="14.5703125" style="9" customWidth="1"/>
    <col min="753" max="753" width="9.28515625" style="9" customWidth="1"/>
    <col min="754" max="754" width="11.42578125" style="9" customWidth="1"/>
    <col min="755" max="755" width="10.42578125" style="9" customWidth="1"/>
    <col min="756" max="757" width="16.28515625" style="9" customWidth="1"/>
    <col min="758" max="758" width="14.140625" style="9" customWidth="1"/>
    <col min="759" max="759" width="12" style="9" bestFit="1" customWidth="1"/>
    <col min="760" max="760" width="17.85546875" style="9" customWidth="1"/>
    <col min="761" max="761" width="9.140625" style="9"/>
    <col min="762" max="762" width="10.7109375" style="9" bestFit="1" customWidth="1"/>
    <col min="763" max="782" width="9.140625" style="9"/>
    <col min="783" max="783" width="10.28515625" style="9" bestFit="1" customWidth="1"/>
    <col min="784" max="957" width="9.140625" style="9"/>
    <col min="958" max="958" width="15.28515625" style="9" bestFit="1" customWidth="1"/>
    <col min="959" max="959" width="17.140625" style="9" customWidth="1"/>
    <col min="960" max="960" width="28" style="9" customWidth="1"/>
    <col min="961" max="961" width="2.7109375" style="9" bestFit="1" customWidth="1"/>
    <col min="962" max="962" width="0" style="9" hidden="1" customWidth="1"/>
    <col min="963" max="967" width="12.42578125" style="9" customWidth="1"/>
    <col min="968" max="968" width="9.5703125" style="9" customWidth="1"/>
    <col min="969" max="969" width="12.42578125" style="9" customWidth="1"/>
    <col min="970" max="970" width="9.85546875" style="9" customWidth="1"/>
    <col min="971" max="971" width="0" style="9" hidden="1" customWidth="1"/>
    <col min="972" max="973" width="11.42578125" style="9" customWidth="1"/>
    <col min="974" max="974" width="8.7109375" style="9" customWidth="1"/>
    <col min="975" max="975" width="0" style="9" hidden="1" customWidth="1"/>
    <col min="976" max="977" width="8" style="9" customWidth="1"/>
    <col min="978" max="979" width="9.28515625" style="9" customWidth="1"/>
    <col min="980" max="980" width="20.7109375" style="9" customWidth="1"/>
    <col min="981" max="981" width="18.42578125" style="9" customWidth="1"/>
    <col min="982" max="983" width="12.85546875" style="9" customWidth="1"/>
    <col min="984" max="984" width="9" style="9" customWidth="1"/>
    <col min="985" max="985" width="10.85546875" style="9" bestFit="1" customWidth="1"/>
    <col min="986" max="986" width="11.28515625" style="9" customWidth="1"/>
    <col min="987" max="987" width="12.5703125" style="9" customWidth="1"/>
    <col min="988" max="988" width="12.42578125" style="9" customWidth="1"/>
    <col min="989" max="989" width="5" style="9" customWidth="1"/>
    <col min="990" max="990" width="16" style="9" customWidth="1"/>
    <col min="991" max="991" width="18.85546875" style="9" customWidth="1"/>
    <col min="992" max="992" width="16.28515625" style="9" customWidth="1"/>
    <col min="993" max="995" width="10.5703125" style="9" customWidth="1"/>
    <col min="996" max="997" width="12.42578125" style="9" customWidth="1"/>
    <col min="998" max="998" width="9.85546875" style="9" customWidth="1"/>
    <col min="999" max="999" width="16.28515625" style="9" customWidth="1"/>
    <col min="1000" max="1000" width="17.85546875" style="9" customWidth="1"/>
    <col min="1001" max="1001" width="16.28515625" style="9" customWidth="1"/>
    <col min="1002" max="1002" width="17.85546875" style="9" customWidth="1"/>
    <col min="1003" max="1003" width="16.28515625" style="9" customWidth="1"/>
    <col min="1004" max="1004" width="10.28515625" style="9" customWidth="1"/>
    <col min="1005" max="1005" width="9.7109375" style="9" customWidth="1"/>
    <col min="1006" max="1006" width="11.42578125" style="9" customWidth="1"/>
    <col min="1007" max="1007" width="10.85546875" style="9" customWidth="1"/>
    <col min="1008" max="1008" width="14.5703125" style="9" customWidth="1"/>
    <col min="1009" max="1009" width="9.28515625" style="9" customWidth="1"/>
    <col min="1010" max="1010" width="11.42578125" style="9" customWidth="1"/>
    <col min="1011" max="1011" width="10.42578125" style="9" customWidth="1"/>
    <col min="1012" max="1013" width="16.28515625" style="9" customWidth="1"/>
    <col min="1014" max="1014" width="14.140625" style="9" customWidth="1"/>
    <col min="1015" max="1015" width="12" style="9" bestFit="1" customWidth="1"/>
    <col min="1016" max="1016" width="17.85546875" style="9" customWidth="1"/>
    <col min="1017" max="1017" width="9.140625" style="9"/>
    <col min="1018" max="1018" width="10.7109375" style="9" bestFit="1" customWidth="1"/>
    <col min="1019" max="1038" width="9.140625" style="9"/>
    <col min="1039" max="1039" width="10.28515625" style="9" bestFit="1" customWidth="1"/>
    <col min="1040" max="1213" width="9.140625" style="9"/>
    <col min="1214" max="1214" width="15.28515625" style="9" bestFit="1" customWidth="1"/>
    <col min="1215" max="1215" width="17.140625" style="9" customWidth="1"/>
    <col min="1216" max="1216" width="28" style="9" customWidth="1"/>
    <col min="1217" max="1217" width="2.7109375" style="9" bestFit="1" customWidth="1"/>
    <col min="1218" max="1218" width="0" style="9" hidden="1" customWidth="1"/>
    <col min="1219" max="1223" width="12.42578125" style="9" customWidth="1"/>
    <col min="1224" max="1224" width="9.5703125" style="9" customWidth="1"/>
    <col min="1225" max="1225" width="12.42578125" style="9" customWidth="1"/>
    <col min="1226" max="1226" width="9.85546875" style="9" customWidth="1"/>
    <col min="1227" max="1227" width="0" style="9" hidden="1" customWidth="1"/>
    <col min="1228" max="1229" width="11.42578125" style="9" customWidth="1"/>
    <col min="1230" max="1230" width="8.7109375" style="9" customWidth="1"/>
    <col min="1231" max="1231" width="0" style="9" hidden="1" customWidth="1"/>
    <col min="1232" max="1233" width="8" style="9" customWidth="1"/>
    <col min="1234" max="1235" width="9.28515625" style="9" customWidth="1"/>
    <col min="1236" max="1236" width="20.7109375" style="9" customWidth="1"/>
    <col min="1237" max="1237" width="18.42578125" style="9" customWidth="1"/>
    <col min="1238" max="1239" width="12.85546875" style="9" customWidth="1"/>
    <col min="1240" max="1240" width="9" style="9" customWidth="1"/>
    <col min="1241" max="1241" width="10.85546875" style="9" bestFit="1" customWidth="1"/>
    <col min="1242" max="1242" width="11.28515625" style="9" customWidth="1"/>
    <col min="1243" max="1243" width="12.5703125" style="9" customWidth="1"/>
    <col min="1244" max="1244" width="12.42578125" style="9" customWidth="1"/>
    <col min="1245" max="1245" width="5" style="9" customWidth="1"/>
    <col min="1246" max="1246" width="16" style="9" customWidth="1"/>
    <col min="1247" max="1247" width="18.85546875" style="9" customWidth="1"/>
    <col min="1248" max="1248" width="16.28515625" style="9" customWidth="1"/>
    <col min="1249" max="1251" width="10.5703125" style="9" customWidth="1"/>
    <col min="1252" max="1253" width="12.42578125" style="9" customWidth="1"/>
    <col min="1254" max="1254" width="9.85546875" style="9" customWidth="1"/>
    <col min="1255" max="1255" width="16.28515625" style="9" customWidth="1"/>
    <col min="1256" max="1256" width="17.85546875" style="9" customWidth="1"/>
    <col min="1257" max="1257" width="16.28515625" style="9" customWidth="1"/>
    <col min="1258" max="1258" width="17.85546875" style="9" customWidth="1"/>
    <col min="1259" max="1259" width="16.28515625" style="9" customWidth="1"/>
    <col min="1260" max="1260" width="10.28515625" style="9" customWidth="1"/>
    <col min="1261" max="1261" width="9.7109375" style="9" customWidth="1"/>
    <col min="1262" max="1262" width="11.42578125" style="9" customWidth="1"/>
    <col min="1263" max="1263" width="10.85546875" style="9" customWidth="1"/>
    <col min="1264" max="1264" width="14.5703125" style="9" customWidth="1"/>
    <col min="1265" max="1265" width="9.28515625" style="9" customWidth="1"/>
    <col min="1266" max="1266" width="11.42578125" style="9" customWidth="1"/>
    <col min="1267" max="1267" width="10.42578125" style="9" customWidth="1"/>
    <col min="1268" max="1269" width="16.28515625" style="9" customWidth="1"/>
    <col min="1270" max="1270" width="14.140625" style="9" customWidth="1"/>
    <col min="1271" max="1271" width="12" style="9" bestFit="1" customWidth="1"/>
    <col min="1272" max="1272" width="17.85546875" style="9" customWidth="1"/>
    <col min="1273" max="1273" width="9.140625" style="9"/>
    <col min="1274" max="1274" width="10.7109375" style="9" bestFit="1" customWidth="1"/>
    <col min="1275" max="1294" width="9.140625" style="9"/>
    <col min="1295" max="1295" width="10.28515625" style="9" bestFit="1" customWidth="1"/>
    <col min="1296" max="1469" width="9.140625" style="9"/>
    <col min="1470" max="1470" width="15.28515625" style="9" bestFit="1" customWidth="1"/>
    <col min="1471" max="1471" width="17.140625" style="9" customWidth="1"/>
    <col min="1472" max="1472" width="28" style="9" customWidth="1"/>
    <col min="1473" max="1473" width="2.7109375" style="9" bestFit="1" customWidth="1"/>
    <col min="1474" max="1474" width="0" style="9" hidden="1" customWidth="1"/>
    <col min="1475" max="1479" width="12.42578125" style="9" customWidth="1"/>
    <col min="1480" max="1480" width="9.5703125" style="9" customWidth="1"/>
    <col min="1481" max="1481" width="12.42578125" style="9" customWidth="1"/>
    <col min="1482" max="1482" width="9.85546875" style="9" customWidth="1"/>
    <col min="1483" max="1483" width="0" style="9" hidden="1" customWidth="1"/>
    <col min="1484" max="1485" width="11.42578125" style="9" customWidth="1"/>
    <col min="1486" max="1486" width="8.7109375" style="9" customWidth="1"/>
    <col min="1487" max="1487" width="0" style="9" hidden="1" customWidth="1"/>
    <col min="1488" max="1489" width="8" style="9" customWidth="1"/>
    <col min="1490" max="1491" width="9.28515625" style="9" customWidth="1"/>
    <col min="1492" max="1492" width="20.7109375" style="9" customWidth="1"/>
    <col min="1493" max="1493" width="18.42578125" style="9" customWidth="1"/>
    <col min="1494" max="1495" width="12.85546875" style="9" customWidth="1"/>
    <col min="1496" max="1496" width="9" style="9" customWidth="1"/>
    <col min="1497" max="1497" width="10.85546875" style="9" bestFit="1" customWidth="1"/>
    <col min="1498" max="1498" width="11.28515625" style="9" customWidth="1"/>
    <col min="1499" max="1499" width="12.5703125" style="9" customWidth="1"/>
    <col min="1500" max="1500" width="12.42578125" style="9" customWidth="1"/>
    <col min="1501" max="1501" width="5" style="9" customWidth="1"/>
    <col min="1502" max="1502" width="16" style="9" customWidth="1"/>
    <col min="1503" max="1503" width="18.85546875" style="9" customWidth="1"/>
    <col min="1504" max="1504" width="16.28515625" style="9" customWidth="1"/>
    <col min="1505" max="1507" width="10.5703125" style="9" customWidth="1"/>
    <col min="1508" max="1509" width="12.42578125" style="9" customWidth="1"/>
    <col min="1510" max="1510" width="9.85546875" style="9" customWidth="1"/>
    <col min="1511" max="1511" width="16.28515625" style="9" customWidth="1"/>
    <col min="1512" max="1512" width="17.85546875" style="9" customWidth="1"/>
    <col min="1513" max="1513" width="16.28515625" style="9" customWidth="1"/>
    <col min="1514" max="1514" width="17.85546875" style="9" customWidth="1"/>
    <col min="1515" max="1515" width="16.28515625" style="9" customWidth="1"/>
    <col min="1516" max="1516" width="10.28515625" style="9" customWidth="1"/>
    <col min="1517" max="1517" width="9.7109375" style="9" customWidth="1"/>
    <col min="1518" max="1518" width="11.42578125" style="9" customWidth="1"/>
    <col min="1519" max="1519" width="10.85546875" style="9" customWidth="1"/>
    <col min="1520" max="1520" width="14.5703125" style="9" customWidth="1"/>
    <col min="1521" max="1521" width="9.28515625" style="9" customWidth="1"/>
    <col min="1522" max="1522" width="11.42578125" style="9" customWidth="1"/>
    <col min="1523" max="1523" width="10.42578125" style="9" customWidth="1"/>
    <col min="1524" max="1525" width="16.28515625" style="9" customWidth="1"/>
    <col min="1526" max="1526" width="14.140625" style="9" customWidth="1"/>
    <col min="1527" max="1527" width="12" style="9" bestFit="1" customWidth="1"/>
    <col min="1528" max="1528" width="17.85546875" style="9" customWidth="1"/>
    <col min="1529" max="1529" width="9.140625" style="9"/>
    <col min="1530" max="1530" width="10.7109375" style="9" bestFit="1" customWidth="1"/>
    <col min="1531" max="1550" width="9.140625" style="9"/>
    <col min="1551" max="1551" width="10.28515625" style="9" bestFit="1" customWidth="1"/>
    <col min="1552" max="1725" width="9.140625" style="9"/>
    <col min="1726" max="1726" width="15.28515625" style="9" bestFit="1" customWidth="1"/>
    <col min="1727" max="1727" width="17.140625" style="9" customWidth="1"/>
    <col min="1728" max="1728" width="28" style="9" customWidth="1"/>
    <col min="1729" max="1729" width="2.7109375" style="9" bestFit="1" customWidth="1"/>
    <col min="1730" max="1730" width="0" style="9" hidden="1" customWidth="1"/>
    <col min="1731" max="1735" width="12.42578125" style="9" customWidth="1"/>
    <col min="1736" max="1736" width="9.5703125" style="9" customWidth="1"/>
    <col min="1737" max="1737" width="12.42578125" style="9" customWidth="1"/>
    <col min="1738" max="1738" width="9.85546875" style="9" customWidth="1"/>
    <col min="1739" max="1739" width="0" style="9" hidden="1" customWidth="1"/>
    <col min="1740" max="1741" width="11.42578125" style="9" customWidth="1"/>
    <col min="1742" max="1742" width="8.7109375" style="9" customWidth="1"/>
    <col min="1743" max="1743" width="0" style="9" hidden="1" customWidth="1"/>
    <col min="1744" max="1745" width="8" style="9" customWidth="1"/>
    <col min="1746" max="1747" width="9.28515625" style="9" customWidth="1"/>
    <col min="1748" max="1748" width="20.7109375" style="9" customWidth="1"/>
    <col min="1749" max="1749" width="18.42578125" style="9" customWidth="1"/>
    <col min="1750" max="1751" width="12.85546875" style="9" customWidth="1"/>
    <col min="1752" max="1752" width="9" style="9" customWidth="1"/>
    <col min="1753" max="1753" width="10.85546875" style="9" bestFit="1" customWidth="1"/>
    <col min="1754" max="1754" width="11.28515625" style="9" customWidth="1"/>
    <col min="1755" max="1755" width="12.5703125" style="9" customWidth="1"/>
    <col min="1756" max="1756" width="12.42578125" style="9" customWidth="1"/>
    <col min="1757" max="1757" width="5" style="9" customWidth="1"/>
    <col min="1758" max="1758" width="16" style="9" customWidth="1"/>
    <col min="1759" max="1759" width="18.85546875" style="9" customWidth="1"/>
    <col min="1760" max="1760" width="16.28515625" style="9" customWidth="1"/>
    <col min="1761" max="1763" width="10.5703125" style="9" customWidth="1"/>
    <col min="1764" max="1765" width="12.42578125" style="9" customWidth="1"/>
    <col min="1766" max="1766" width="9.85546875" style="9" customWidth="1"/>
    <col min="1767" max="1767" width="16.28515625" style="9" customWidth="1"/>
    <col min="1768" max="1768" width="17.85546875" style="9" customWidth="1"/>
    <col min="1769" max="1769" width="16.28515625" style="9" customWidth="1"/>
    <col min="1770" max="1770" width="17.85546875" style="9" customWidth="1"/>
    <col min="1771" max="1771" width="16.28515625" style="9" customWidth="1"/>
    <col min="1772" max="1772" width="10.28515625" style="9" customWidth="1"/>
    <col min="1773" max="1773" width="9.7109375" style="9" customWidth="1"/>
    <col min="1774" max="1774" width="11.42578125" style="9" customWidth="1"/>
    <col min="1775" max="1775" width="10.85546875" style="9" customWidth="1"/>
    <col min="1776" max="1776" width="14.5703125" style="9" customWidth="1"/>
    <col min="1777" max="1777" width="9.28515625" style="9" customWidth="1"/>
    <col min="1778" max="1778" width="11.42578125" style="9" customWidth="1"/>
    <col min="1779" max="1779" width="10.42578125" style="9" customWidth="1"/>
    <col min="1780" max="1781" width="16.28515625" style="9" customWidth="1"/>
    <col min="1782" max="1782" width="14.140625" style="9" customWidth="1"/>
    <col min="1783" max="1783" width="12" style="9" bestFit="1" customWidth="1"/>
    <col min="1784" max="1784" width="17.85546875" style="9" customWidth="1"/>
    <col min="1785" max="1785" width="9.140625" style="9"/>
    <col min="1786" max="1786" width="10.7109375" style="9" bestFit="1" customWidth="1"/>
    <col min="1787" max="1806" width="9.140625" style="9"/>
    <col min="1807" max="1807" width="10.28515625" style="9" bestFit="1" customWidth="1"/>
    <col min="1808" max="1981" width="9.140625" style="9"/>
    <col min="1982" max="1982" width="15.28515625" style="9" bestFit="1" customWidth="1"/>
    <col min="1983" max="1983" width="17.140625" style="9" customWidth="1"/>
    <col min="1984" max="1984" width="28" style="9" customWidth="1"/>
    <col min="1985" max="1985" width="2.7109375" style="9" bestFit="1" customWidth="1"/>
    <col min="1986" max="1986" width="0" style="9" hidden="1" customWidth="1"/>
    <col min="1987" max="1991" width="12.42578125" style="9" customWidth="1"/>
    <col min="1992" max="1992" width="9.5703125" style="9" customWidth="1"/>
    <col min="1993" max="1993" width="12.42578125" style="9" customWidth="1"/>
    <col min="1994" max="1994" width="9.85546875" style="9" customWidth="1"/>
    <col min="1995" max="1995" width="0" style="9" hidden="1" customWidth="1"/>
    <col min="1996" max="1997" width="11.42578125" style="9" customWidth="1"/>
    <col min="1998" max="1998" width="8.7109375" style="9" customWidth="1"/>
    <col min="1999" max="1999" width="0" style="9" hidden="1" customWidth="1"/>
    <col min="2000" max="2001" width="8" style="9" customWidth="1"/>
    <col min="2002" max="2003" width="9.28515625" style="9" customWidth="1"/>
    <col min="2004" max="2004" width="20.7109375" style="9" customWidth="1"/>
    <col min="2005" max="2005" width="18.42578125" style="9" customWidth="1"/>
    <col min="2006" max="2007" width="12.85546875" style="9" customWidth="1"/>
    <col min="2008" max="2008" width="9" style="9" customWidth="1"/>
    <col min="2009" max="2009" width="10.85546875" style="9" bestFit="1" customWidth="1"/>
    <col min="2010" max="2010" width="11.28515625" style="9" customWidth="1"/>
    <col min="2011" max="2011" width="12.5703125" style="9" customWidth="1"/>
    <col min="2012" max="2012" width="12.42578125" style="9" customWidth="1"/>
    <col min="2013" max="2013" width="5" style="9" customWidth="1"/>
    <col min="2014" max="2014" width="16" style="9" customWidth="1"/>
    <col min="2015" max="2015" width="18.85546875" style="9" customWidth="1"/>
    <col min="2016" max="2016" width="16.28515625" style="9" customWidth="1"/>
    <col min="2017" max="2019" width="10.5703125" style="9" customWidth="1"/>
    <col min="2020" max="2021" width="12.42578125" style="9" customWidth="1"/>
    <col min="2022" max="2022" width="9.85546875" style="9" customWidth="1"/>
    <col min="2023" max="2023" width="16.28515625" style="9" customWidth="1"/>
    <col min="2024" max="2024" width="17.85546875" style="9" customWidth="1"/>
    <col min="2025" max="2025" width="16.28515625" style="9" customWidth="1"/>
    <col min="2026" max="2026" width="17.85546875" style="9" customWidth="1"/>
    <col min="2027" max="2027" width="16.28515625" style="9" customWidth="1"/>
    <col min="2028" max="2028" width="10.28515625" style="9" customWidth="1"/>
    <col min="2029" max="2029" width="9.7109375" style="9" customWidth="1"/>
    <col min="2030" max="2030" width="11.42578125" style="9" customWidth="1"/>
    <col min="2031" max="2031" width="10.85546875" style="9" customWidth="1"/>
    <col min="2032" max="2032" width="14.5703125" style="9" customWidth="1"/>
    <col min="2033" max="2033" width="9.28515625" style="9" customWidth="1"/>
    <col min="2034" max="2034" width="11.42578125" style="9" customWidth="1"/>
    <col min="2035" max="2035" width="10.42578125" style="9" customWidth="1"/>
    <col min="2036" max="2037" width="16.28515625" style="9" customWidth="1"/>
    <col min="2038" max="2038" width="14.140625" style="9" customWidth="1"/>
    <col min="2039" max="2039" width="12" style="9" bestFit="1" customWidth="1"/>
    <col min="2040" max="2040" width="17.85546875" style="9" customWidth="1"/>
    <col min="2041" max="2041" width="9.140625" style="9"/>
    <col min="2042" max="2042" width="10.7109375" style="9" bestFit="1" customWidth="1"/>
    <col min="2043" max="2062" width="9.140625" style="9"/>
    <col min="2063" max="2063" width="10.28515625" style="9" bestFit="1" customWidth="1"/>
    <col min="2064" max="2237" width="9.140625" style="9"/>
    <col min="2238" max="2238" width="15.28515625" style="9" bestFit="1" customWidth="1"/>
    <col min="2239" max="2239" width="17.140625" style="9" customWidth="1"/>
    <col min="2240" max="2240" width="28" style="9" customWidth="1"/>
    <col min="2241" max="2241" width="2.7109375" style="9" bestFit="1" customWidth="1"/>
    <col min="2242" max="2242" width="0" style="9" hidden="1" customWidth="1"/>
    <col min="2243" max="2247" width="12.42578125" style="9" customWidth="1"/>
    <col min="2248" max="2248" width="9.5703125" style="9" customWidth="1"/>
    <col min="2249" max="2249" width="12.42578125" style="9" customWidth="1"/>
    <col min="2250" max="2250" width="9.85546875" style="9" customWidth="1"/>
    <col min="2251" max="2251" width="0" style="9" hidden="1" customWidth="1"/>
    <col min="2252" max="2253" width="11.42578125" style="9" customWidth="1"/>
    <col min="2254" max="2254" width="8.7109375" style="9" customWidth="1"/>
    <col min="2255" max="2255" width="0" style="9" hidden="1" customWidth="1"/>
    <col min="2256" max="2257" width="8" style="9" customWidth="1"/>
    <col min="2258" max="2259" width="9.28515625" style="9" customWidth="1"/>
    <col min="2260" max="2260" width="20.7109375" style="9" customWidth="1"/>
    <col min="2261" max="2261" width="18.42578125" style="9" customWidth="1"/>
    <col min="2262" max="2263" width="12.85546875" style="9" customWidth="1"/>
    <col min="2264" max="2264" width="9" style="9" customWidth="1"/>
    <col min="2265" max="2265" width="10.85546875" style="9" bestFit="1" customWidth="1"/>
    <col min="2266" max="2266" width="11.28515625" style="9" customWidth="1"/>
    <col min="2267" max="2267" width="12.5703125" style="9" customWidth="1"/>
    <col min="2268" max="2268" width="12.42578125" style="9" customWidth="1"/>
    <col min="2269" max="2269" width="5" style="9" customWidth="1"/>
    <col min="2270" max="2270" width="16" style="9" customWidth="1"/>
    <col min="2271" max="2271" width="18.85546875" style="9" customWidth="1"/>
    <col min="2272" max="2272" width="16.28515625" style="9" customWidth="1"/>
    <col min="2273" max="2275" width="10.5703125" style="9" customWidth="1"/>
    <col min="2276" max="2277" width="12.42578125" style="9" customWidth="1"/>
    <col min="2278" max="2278" width="9.85546875" style="9" customWidth="1"/>
    <col min="2279" max="2279" width="16.28515625" style="9" customWidth="1"/>
    <col min="2280" max="2280" width="17.85546875" style="9" customWidth="1"/>
    <col min="2281" max="2281" width="16.28515625" style="9" customWidth="1"/>
    <col min="2282" max="2282" width="17.85546875" style="9" customWidth="1"/>
    <col min="2283" max="2283" width="16.28515625" style="9" customWidth="1"/>
    <col min="2284" max="2284" width="10.28515625" style="9" customWidth="1"/>
    <col min="2285" max="2285" width="9.7109375" style="9" customWidth="1"/>
    <col min="2286" max="2286" width="11.42578125" style="9" customWidth="1"/>
    <col min="2287" max="2287" width="10.85546875" style="9" customWidth="1"/>
    <col min="2288" max="2288" width="14.5703125" style="9" customWidth="1"/>
    <col min="2289" max="2289" width="9.28515625" style="9" customWidth="1"/>
    <col min="2290" max="2290" width="11.42578125" style="9" customWidth="1"/>
    <col min="2291" max="2291" width="10.42578125" style="9" customWidth="1"/>
    <col min="2292" max="2293" width="16.28515625" style="9" customWidth="1"/>
    <col min="2294" max="2294" width="14.140625" style="9" customWidth="1"/>
    <col min="2295" max="2295" width="12" style="9" bestFit="1" customWidth="1"/>
    <col min="2296" max="2296" width="17.85546875" style="9" customWidth="1"/>
    <col min="2297" max="2297" width="9.140625" style="9"/>
    <col min="2298" max="2298" width="10.7109375" style="9" bestFit="1" customWidth="1"/>
    <col min="2299" max="2318" width="9.140625" style="9"/>
    <col min="2319" max="2319" width="10.28515625" style="9" bestFit="1" customWidth="1"/>
    <col min="2320" max="2493" width="9.140625" style="9"/>
    <col min="2494" max="2494" width="15.28515625" style="9" bestFit="1" customWidth="1"/>
    <col min="2495" max="2495" width="17.140625" style="9" customWidth="1"/>
    <col min="2496" max="2496" width="28" style="9" customWidth="1"/>
    <col min="2497" max="2497" width="2.7109375" style="9" bestFit="1" customWidth="1"/>
    <col min="2498" max="2498" width="0" style="9" hidden="1" customWidth="1"/>
    <col min="2499" max="2503" width="12.42578125" style="9" customWidth="1"/>
    <col min="2504" max="2504" width="9.5703125" style="9" customWidth="1"/>
    <col min="2505" max="2505" width="12.42578125" style="9" customWidth="1"/>
    <col min="2506" max="2506" width="9.85546875" style="9" customWidth="1"/>
    <col min="2507" max="2507" width="0" style="9" hidden="1" customWidth="1"/>
    <col min="2508" max="2509" width="11.42578125" style="9" customWidth="1"/>
    <col min="2510" max="2510" width="8.7109375" style="9" customWidth="1"/>
    <col min="2511" max="2511" width="0" style="9" hidden="1" customWidth="1"/>
    <col min="2512" max="2513" width="8" style="9" customWidth="1"/>
    <col min="2514" max="2515" width="9.28515625" style="9" customWidth="1"/>
    <col min="2516" max="2516" width="20.7109375" style="9" customWidth="1"/>
    <col min="2517" max="2517" width="18.42578125" style="9" customWidth="1"/>
    <col min="2518" max="2519" width="12.85546875" style="9" customWidth="1"/>
    <col min="2520" max="2520" width="9" style="9" customWidth="1"/>
    <col min="2521" max="2521" width="10.85546875" style="9" bestFit="1" customWidth="1"/>
    <col min="2522" max="2522" width="11.28515625" style="9" customWidth="1"/>
    <col min="2523" max="2523" width="12.5703125" style="9" customWidth="1"/>
    <col min="2524" max="2524" width="12.42578125" style="9" customWidth="1"/>
    <col min="2525" max="2525" width="5" style="9" customWidth="1"/>
    <col min="2526" max="2526" width="16" style="9" customWidth="1"/>
    <col min="2527" max="2527" width="18.85546875" style="9" customWidth="1"/>
    <col min="2528" max="2528" width="16.28515625" style="9" customWidth="1"/>
    <col min="2529" max="2531" width="10.5703125" style="9" customWidth="1"/>
    <col min="2532" max="2533" width="12.42578125" style="9" customWidth="1"/>
    <col min="2534" max="2534" width="9.85546875" style="9" customWidth="1"/>
    <col min="2535" max="2535" width="16.28515625" style="9" customWidth="1"/>
    <col min="2536" max="2536" width="17.85546875" style="9" customWidth="1"/>
    <col min="2537" max="2537" width="16.28515625" style="9" customWidth="1"/>
    <col min="2538" max="2538" width="17.85546875" style="9" customWidth="1"/>
    <col min="2539" max="2539" width="16.28515625" style="9" customWidth="1"/>
    <col min="2540" max="2540" width="10.28515625" style="9" customWidth="1"/>
    <col min="2541" max="2541" width="9.7109375" style="9" customWidth="1"/>
    <col min="2542" max="2542" width="11.42578125" style="9" customWidth="1"/>
    <col min="2543" max="2543" width="10.85546875" style="9" customWidth="1"/>
    <col min="2544" max="2544" width="14.5703125" style="9" customWidth="1"/>
    <col min="2545" max="2545" width="9.28515625" style="9" customWidth="1"/>
    <col min="2546" max="2546" width="11.42578125" style="9" customWidth="1"/>
    <col min="2547" max="2547" width="10.42578125" style="9" customWidth="1"/>
    <col min="2548" max="2549" width="16.28515625" style="9" customWidth="1"/>
    <col min="2550" max="2550" width="14.140625" style="9" customWidth="1"/>
    <col min="2551" max="2551" width="12" style="9" bestFit="1" customWidth="1"/>
    <col min="2552" max="2552" width="17.85546875" style="9" customWidth="1"/>
    <col min="2553" max="2553" width="9.140625" style="9"/>
    <col min="2554" max="2554" width="10.7109375" style="9" bestFit="1" customWidth="1"/>
    <col min="2555" max="2574" width="9.140625" style="9"/>
    <col min="2575" max="2575" width="10.28515625" style="9" bestFit="1" customWidth="1"/>
    <col min="2576" max="2749" width="9.140625" style="9"/>
    <col min="2750" max="2750" width="15.28515625" style="9" bestFit="1" customWidth="1"/>
    <col min="2751" max="2751" width="17.140625" style="9" customWidth="1"/>
    <col min="2752" max="2752" width="28" style="9" customWidth="1"/>
    <col min="2753" max="2753" width="2.7109375" style="9" bestFit="1" customWidth="1"/>
    <col min="2754" max="2754" width="0" style="9" hidden="1" customWidth="1"/>
    <col min="2755" max="2759" width="12.42578125" style="9" customWidth="1"/>
    <col min="2760" max="2760" width="9.5703125" style="9" customWidth="1"/>
    <col min="2761" max="2761" width="12.42578125" style="9" customWidth="1"/>
    <col min="2762" max="2762" width="9.85546875" style="9" customWidth="1"/>
    <col min="2763" max="2763" width="0" style="9" hidden="1" customWidth="1"/>
    <col min="2764" max="2765" width="11.42578125" style="9" customWidth="1"/>
    <col min="2766" max="2766" width="8.7109375" style="9" customWidth="1"/>
    <col min="2767" max="2767" width="0" style="9" hidden="1" customWidth="1"/>
    <col min="2768" max="2769" width="8" style="9" customWidth="1"/>
    <col min="2770" max="2771" width="9.28515625" style="9" customWidth="1"/>
    <col min="2772" max="2772" width="20.7109375" style="9" customWidth="1"/>
    <col min="2773" max="2773" width="18.42578125" style="9" customWidth="1"/>
    <col min="2774" max="2775" width="12.85546875" style="9" customWidth="1"/>
    <col min="2776" max="2776" width="9" style="9" customWidth="1"/>
    <col min="2777" max="2777" width="10.85546875" style="9" bestFit="1" customWidth="1"/>
    <col min="2778" max="2778" width="11.28515625" style="9" customWidth="1"/>
    <col min="2779" max="2779" width="12.5703125" style="9" customWidth="1"/>
    <col min="2780" max="2780" width="12.42578125" style="9" customWidth="1"/>
    <col min="2781" max="2781" width="5" style="9" customWidth="1"/>
    <col min="2782" max="2782" width="16" style="9" customWidth="1"/>
    <col min="2783" max="2783" width="18.85546875" style="9" customWidth="1"/>
    <col min="2784" max="2784" width="16.28515625" style="9" customWidth="1"/>
    <col min="2785" max="2787" width="10.5703125" style="9" customWidth="1"/>
    <col min="2788" max="2789" width="12.42578125" style="9" customWidth="1"/>
    <col min="2790" max="2790" width="9.85546875" style="9" customWidth="1"/>
    <col min="2791" max="2791" width="16.28515625" style="9" customWidth="1"/>
    <col min="2792" max="2792" width="17.85546875" style="9" customWidth="1"/>
    <col min="2793" max="2793" width="16.28515625" style="9" customWidth="1"/>
    <col min="2794" max="2794" width="17.85546875" style="9" customWidth="1"/>
    <col min="2795" max="2795" width="16.28515625" style="9" customWidth="1"/>
    <col min="2796" max="2796" width="10.28515625" style="9" customWidth="1"/>
    <col min="2797" max="2797" width="9.7109375" style="9" customWidth="1"/>
    <col min="2798" max="2798" width="11.42578125" style="9" customWidth="1"/>
    <col min="2799" max="2799" width="10.85546875" style="9" customWidth="1"/>
    <col min="2800" max="2800" width="14.5703125" style="9" customWidth="1"/>
    <col min="2801" max="2801" width="9.28515625" style="9" customWidth="1"/>
    <col min="2802" max="2802" width="11.42578125" style="9" customWidth="1"/>
    <col min="2803" max="2803" width="10.42578125" style="9" customWidth="1"/>
    <col min="2804" max="2805" width="16.28515625" style="9" customWidth="1"/>
    <col min="2806" max="2806" width="14.140625" style="9" customWidth="1"/>
    <col min="2807" max="2807" width="12" style="9" bestFit="1" customWidth="1"/>
    <col min="2808" max="2808" width="17.85546875" style="9" customWidth="1"/>
    <col min="2809" max="2809" width="9.140625" style="9"/>
    <col min="2810" max="2810" width="10.7109375" style="9" bestFit="1" customWidth="1"/>
    <col min="2811" max="2830" width="9.140625" style="9"/>
    <col min="2831" max="2831" width="10.28515625" style="9" bestFit="1" customWidth="1"/>
    <col min="2832" max="3005" width="9.140625" style="9"/>
    <col min="3006" max="3006" width="15.28515625" style="9" bestFit="1" customWidth="1"/>
    <col min="3007" max="3007" width="17.140625" style="9" customWidth="1"/>
    <col min="3008" max="3008" width="28" style="9" customWidth="1"/>
    <col min="3009" max="3009" width="2.7109375" style="9" bestFit="1" customWidth="1"/>
    <col min="3010" max="3010" width="0" style="9" hidden="1" customWidth="1"/>
    <col min="3011" max="3015" width="12.42578125" style="9" customWidth="1"/>
    <col min="3016" max="3016" width="9.5703125" style="9" customWidth="1"/>
    <col min="3017" max="3017" width="12.42578125" style="9" customWidth="1"/>
    <col min="3018" max="3018" width="9.85546875" style="9" customWidth="1"/>
    <col min="3019" max="3019" width="0" style="9" hidden="1" customWidth="1"/>
    <col min="3020" max="3021" width="11.42578125" style="9" customWidth="1"/>
    <col min="3022" max="3022" width="8.7109375" style="9" customWidth="1"/>
    <col min="3023" max="3023" width="0" style="9" hidden="1" customWidth="1"/>
    <col min="3024" max="3025" width="8" style="9" customWidth="1"/>
    <col min="3026" max="3027" width="9.28515625" style="9" customWidth="1"/>
    <col min="3028" max="3028" width="20.7109375" style="9" customWidth="1"/>
    <col min="3029" max="3029" width="18.42578125" style="9" customWidth="1"/>
    <col min="3030" max="3031" width="12.85546875" style="9" customWidth="1"/>
    <col min="3032" max="3032" width="9" style="9" customWidth="1"/>
    <col min="3033" max="3033" width="10.85546875" style="9" bestFit="1" customWidth="1"/>
    <col min="3034" max="3034" width="11.28515625" style="9" customWidth="1"/>
    <col min="3035" max="3035" width="12.5703125" style="9" customWidth="1"/>
    <col min="3036" max="3036" width="12.42578125" style="9" customWidth="1"/>
    <col min="3037" max="3037" width="5" style="9" customWidth="1"/>
    <col min="3038" max="3038" width="16" style="9" customWidth="1"/>
    <col min="3039" max="3039" width="18.85546875" style="9" customWidth="1"/>
    <col min="3040" max="3040" width="16.28515625" style="9" customWidth="1"/>
    <col min="3041" max="3043" width="10.5703125" style="9" customWidth="1"/>
    <col min="3044" max="3045" width="12.42578125" style="9" customWidth="1"/>
    <col min="3046" max="3046" width="9.85546875" style="9" customWidth="1"/>
    <col min="3047" max="3047" width="16.28515625" style="9" customWidth="1"/>
    <col min="3048" max="3048" width="17.85546875" style="9" customWidth="1"/>
    <col min="3049" max="3049" width="16.28515625" style="9" customWidth="1"/>
    <col min="3050" max="3050" width="17.85546875" style="9" customWidth="1"/>
    <col min="3051" max="3051" width="16.28515625" style="9" customWidth="1"/>
    <col min="3052" max="3052" width="10.28515625" style="9" customWidth="1"/>
    <col min="3053" max="3053" width="9.7109375" style="9" customWidth="1"/>
    <col min="3054" max="3054" width="11.42578125" style="9" customWidth="1"/>
    <col min="3055" max="3055" width="10.85546875" style="9" customWidth="1"/>
    <col min="3056" max="3056" width="14.5703125" style="9" customWidth="1"/>
    <col min="3057" max="3057" width="9.28515625" style="9" customWidth="1"/>
    <col min="3058" max="3058" width="11.42578125" style="9" customWidth="1"/>
    <col min="3059" max="3059" width="10.42578125" style="9" customWidth="1"/>
    <col min="3060" max="3061" width="16.28515625" style="9" customWidth="1"/>
    <col min="3062" max="3062" width="14.140625" style="9" customWidth="1"/>
    <col min="3063" max="3063" width="12" style="9" bestFit="1" customWidth="1"/>
    <col min="3064" max="3064" width="17.85546875" style="9" customWidth="1"/>
    <col min="3065" max="3065" width="9.140625" style="9"/>
    <col min="3066" max="3066" width="10.7109375" style="9" bestFit="1" customWidth="1"/>
    <col min="3067" max="3086" width="9.140625" style="9"/>
    <col min="3087" max="3087" width="10.28515625" style="9" bestFit="1" customWidth="1"/>
    <col min="3088" max="3261" width="9.140625" style="9"/>
    <col min="3262" max="3262" width="15.28515625" style="9" bestFit="1" customWidth="1"/>
    <col min="3263" max="3263" width="17.140625" style="9" customWidth="1"/>
    <col min="3264" max="3264" width="28" style="9" customWidth="1"/>
    <col min="3265" max="3265" width="2.7109375" style="9" bestFit="1" customWidth="1"/>
    <col min="3266" max="3266" width="0" style="9" hidden="1" customWidth="1"/>
    <col min="3267" max="3271" width="12.42578125" style="9" customWidth="1"/>
    <col min="3272" max="3272" width="9.5703125" style="9" customWidth="1"/>
    <col min="3273" max="3273" width="12.42578125" style="9" customWidth="1"/>
    <col min="3274" max="3274" width="9.85546875" style="9" customWidth="1"/>
    <col min="3275" max="3275" width="0" style="9" hidden="1" customWidth="1"/>
    <col min="3276" max="3277" width="11.42578125" style="9" customWidth="1"/>
    <col min="3278" max="3278" width="8.7109375" style="9" customWidth="1"/>
    <col min="3279" max="3279" width="0" style="9" hidden="1" customWidth="1"/>
    <col min="3280" max="3281" width="8" style="9" customWidth="1"/>
    <col min="3282" max="3283" width="9.28515625" style="9" customWidth="1"/>
    <col min="3284" max="3284" width="20.7109375" style="9" customWidth="1"/>
    <col min="3285" max="3285" width="18.42578125" style="9" customWidth="1"/>
    <col min="3286" max="3287" width="12.85546875" style="9" customWidth="1"/>
    <col min="3288" max="3288" width="9" style="9" customWidth="1"/>
    <col min="3289" max="3289" width="10.85546875" style="9" bestFit="1" customWidth="1"/>
    <col min="3290" max="3290" width="11.28515625" style="9" customWidth="1"/>
    <col min="3291" max="3291" width="12.5703125" style="9" customWidth="1"/>
    <col min="3292" max="3292" width="12.42578125" style="9" customWidth="1"/>
    <col min="3293" max="3293" width="5" style="9" customWidth="1"/>
    <col min="3294" max="3294" width="16" style="9" customWidth="1"/>
    <col min="3295" max="3295" width="18.85546875" style="9" customWidth="1"/>
    <col min="3296" max="3296" width="16.28515625" style="9" customWidth="1"/>
    <col min="3297" max="3299" width="10.5703125" style="9" customWidth="1"/>
    <col min="3300" max="3301" width="12.42578125" style="9" customWidth="1"/>
    <col min="3302" max="3302" width="9.85546875" style="9" customWidth="1"/>
    <col min="3303" max="3303" width="16.28515625" style="9" customWidth="1"/>
    <col min="3304" max="3304" width="17.85546875" style="9" customWidth="1"/>
    <col min="3305" max="3305" width="16.28515625" style="9" customWidth="1"/>
    <col min="3306" max="3306" width="17.85546875" style="9" customWidth="1"/>
    <col min="3307" max="3307" width="16.28515625" style="9" customWidth="1"/>
    <col min="3308" max="3308" width="10.28515625" style="9" customWidth="1"/>
    <col min="3309" max="3309" width="9.7109375" style="9" customWidth="1"/>
    <col min="3310" max="3310" width="11.42578125" style="9" customWidth="1"/>
    <col min="3311" max="3311" width="10.85546875" style="9" customWidth="1"/>
    <col min="3312" max="3312" width="14.5703125" style="9" customWidth="1"/>
    <col min="3313" max="3313" width="9.28515625" style="9" customWidth="1"/>
    <col min="3314" max="3314" width="11.42578125" style="9" customWidth="1"/>
    <col min="3315" max="3315" width="10.42578125" style="9" customWidth="1"/>
    <col min="3316" max="3317" width="16.28515625" style="9" customWidth="1"/>
    <col min="3318" max="3318" width="14.140625" style="9" customWidth="1"/>
    <col min="3319" max="3319" width="12" style="9" bestFit="1" customWidth="1"/>
    <col min="3320" max="3320" width="17.85546875" style="9" customWidth="1"/>
    <col min="3321" max="3321" width="9.140625" style="9"/>
    <col min="3322" max="3322" width="10.7109375" style="9" bestFit="1" customWidth="1"/>
    <col min="3323" max="3342" width="9.140625" style="9"/>
    <col min="3343" max="3343" width="10.28515625" style="9" bestFit="1" customWidth="1"/>
    <col min="3344" max="3517" width="9.140625" style="9"/>
    <col min="3518" max="3518" width="15.28515625" style="9" bestFit="1" customWidth="1"/>
    <col min="3519" max="3519" width="17.140625" style="9" customWidth="1"/>
    <col min="3520" max="3520" width="28" style="9" customWidth="1"/>
    <col min="3521" max="3521" width="2.7109375" style="9" bestFit="1" customWidth="1"/>
    <col min="3522" max="3522" width="0" style="9" hidden="1" customWidth="1"/>
    <col min="3523" max="3527" width="12.42578125" style="9" customWidth="1"/>
    <col min="3528" max="3528" width="9.5703125" style="9" customWidth="1"/>
    <col min="3529" max="3529" width="12.42578125" style="9" customWidth="1"/>
    <col min="3530" max="3530" width="9.85546875" style="9" customWidth="1"/>
    <col min="3531" max="3531" width="0" style="9" hidden="1" customWidth="1"/>
    <col min="3532" max="3533" width="11.42578125" style="9" customWidth="1"/>
    <col min="3534" max="3534" width="8.7109375" style="9" customWidth="1"/>
    <col min="3535" max="3535" width="0" style="9" hidden="1" customWidth="1"/>
    <col min="3536" max="3537" width="8" style="9" customWidth="1"/>
    <col min="3538" max="3539" width="9.28515625" style="9" customWidth="1"/>
    <col min="3540" max="3540" width="20.7109375" style="9" customWidth="1"/>
    <col min="3541" max="3541" width="18.42578125" style="9" customWidth="1"/>
    <col min="3542" max="3543" width="12.85546875" style="9" customWidth="1"/>
    <col min="3544" max="3544" width="9" style="9" customWidth="1"/>
    <col min="3545" max="3545" width="10.85546875" style="9" bestFit="1" customWidth="1"/>
    <col min="3546" max="3546" width="11.28515625" style="9" customWidth="1"/>
    <col min="3547" max="3547" width="12.5703125" style="9" customWidth="1"/>
    <col min="3548" max="3548" width="12.42578125" style="9" customWidth="1"/>
    <col min="3549" max="3549" width="5" style="9" customWidth="1"/>
    <col min="3550" max="3550" width="16" style="9" customWidth="1"/>
    <col min="3551" max="3551" width="18.85546875" style="9" customWidth="1"/>
    <col min="3552" max="3552" width="16.28515625" style="9" customWidth="1"/>
    <col min="3553" max="3555" width="10.5703125" style="9" customWidth="1"/>
    <col min="3556" max="3557" width="12.42578125" style="9" customWidth="1"/>
    <col min="3558" max="3558" width="9.85546875" style="9" customWidth="1"/>
    <col min="3559" max="3559" width="16.28515625" style="9" customWidth="1"/>
    <col min="3560" max="3560" width="17.85546875" style="9" customWidth="1"/>
    <col min="3561" max="3561" width="16.28515625" style="9" customWidth="1"/>
    <col min="3562" max="3562" width="17.85546875" style="9" customWidth="1"/>
    <col min="3563" max="3563" width="16.28515625" style="9" customWidth="1"/>
    <col min="3564" max="3564" width="10.28515625" style="9" customWidth="1"/>
    <col min="3565" max="3565" width="9.7109375" style="9" customWidth="1"/>
    <col min="3566" max="3566" width="11.42578125" style="9" customWidth="1"/>
    <col min="3567" max="3567" width="10.85546875" style="9" customWidth="1"/>
    <col min="3568" max="3568" width="14.5703125" style="9" customWidth="1"/>
    <col min="3569" max="3569" width="9.28515625" style="9" customWidth="1"/>
    <col min="3570" max="3570" width="11.42578125" style="9" customWidth="1"/>
    <col min="3571" max="3571" width="10.42578125" style="9" customWidth="1"/>
    <col min="3572" max="3573" width="16.28515625" style="9" customWidth="1"/>
    <col min="3574" max="3574" width="14.140625" style="9" customWidth="1"/>
    <col min="3575" max="3575" width="12" style="9" bestFit="1" customWidth="1"/>
    <col min="3576" max="3576" width="17.85546875" style="9" customWidth="1"/>
    <col min="3577" max="3577" width="9.140625" style="9"/>
    <col min="3578" max="3578" width="10.7109375" style="9" bestFit="1" customWidth="1"/>
    <col min="3579" max="3598" width="9.140625" style="9"/>
    <col min="3599" max="3599" width="10.28515625" style="9" bestFit="1" customWidth="1"/>
    <col min="3600" max="3773" width="9.140625" style="9"/>
    <col min="3774" max="3774" width="15.28515625" style="9" bestFit="1" customWidth="1"/>
    <col min="3775" max="3775" width="17.140625" style="9" customWidth="1"/>
    <col min="3776" max="3776" width="28" style="9" customWidth="1"/>
    <col min="3777" max="3777" width="2.7109375" style="9" bestFit="1" customWidth="1"/>
    <col min="3778" max="3778" width="0" style="9" hidden="1" customWidth="1"/>
    <col min="3779" max="3783" width="12.42578125" style="9" customWidth="1"/>
    <col min="3784" max="3784" width="9.5703125" style="9" customWidth="1"/>
    <col min="3785" max="3785" width="12.42578125" style="9" customWidth="1"/>
    <col min="3786" max="3786" width="9.85546875" style="9" customWidth="1"/>
    <col min="3787" max="3787" width="0" style="9" hidden="1" customWidth="1"/>
    <col min="3788" max="3789" width="11.42578125" style="9" customWidth="1"/>
    <col min="3790" max="3790" width="8.7109375" style="9" customWidth="1"/>
    <col min="3791" max="3791" width="0" style="9" hidden="1" customWidth="1"/>
    <col min="3792" max="3793" width="8" style="9" customWidth="1"/>
    <col min="3794" max="3795" width="9.28515625" style="9" customWidth="1"/>
    <col min="3796" max="3796" width="20.7109375" style="9" customWidth="1"/>
    <col min="3797" max="3797" width="18.42578125" style="9" customWidth="1"/>
    <col min="3798" max="3799" width="12.85546875" style="9" customWidth="1"/>
    <col min="3800" max="3800" width="9" style="9" customWidth="1"/>
    <col min="3801" max="3801" width="10.85546875" style="9" bestFit="1" customWidth="1"/>
    <col min="3802" max="3802" width="11.28515625" style="9" customWidth="1"/>
    <col min="3803" max="3803" width="12.5703125" style="9" customWidth="1"/>
    <col min="3804" max="3804" width="12.42578125" style="9" customWidth="1"/>
    <col min="3805" max="3805" width="5" style="9" customWidth="1"/>
    <col min="3806" max="3806" width="16" style="9" customWidth="1"/>
    <col min="3807" max="3807" width="18.85546875" style="9" customWidth="1"/>
    <col min="3808" max="3808" width="16.28515625" style="9" customWidth="1"/>
    <col min="3809" max="3811" width="10.5703125" style="9" customWidth="1"/>
    <col min="3812" max="3813" width="12.42578125" style="9" customWidth="1"/>
    <col min="3814" max="3814" width="9.85546875" style="9" customWidth="1"/>
    <col min="3815" max="3815" width="16.28515625" style="9" customWidth="1"/>
    <col min="3816" max="3816" width="17.85546875" style="9" customWidth="1"/>
    <col min="3817" max="3817" width="16.28515625" style="9" customWidth="1"/>
    <col min="3818" max="3818" width="17.85546875" style="9" customWidth="1"/>
    <col min="3819" max="3819" width="16.28515625" style="9" customWidth="1"/>
    <col min="3820" max="3820" width="10.28515625" style="9" customWidth="1"/>
    <col min="3821" max="3821" width="9.7109375" style="9" customWidth="1"/>
    <col min="3822" max="3822" width="11.42578125" style="9" customWidth="1"/>
    <col min="3823" max="3823" width="10.85546875" style="9" customWidth="1"/>
    <col min="3824" max="3824" width="14.5703125" style="9" customWidth="1"/>
    <col min="3825" max="3825" width="9.28515625" style="9" customWidth="1"/>
    <col min="3826" max="3826" width="11.42578125" style="9" customWidth="1"/>
    <col min="3827" max="3827" width="10.42578125" style="9" customWidth="1"/>
    <col min="3828" max="3829" width="16.28515625" style="9" customWidth="1"/>
    <col min="3830" max="3830" width="14.140625" style="9" customWidth="1"/>
    <col min="3831" max="3831" width="12" style="9" bestFit="1" customWidth="1"/>
    <col min="3832" max="3832" width="17.85546875" style="9" customWidth="1"/>
    <col min="3833" max="3833" width="9.140625" style="9"/>
    <col min="3834" max="3834" width="10.7109375" style="9" bestFit="1" customWidth="1"/>
    <col min="3835" max="3854" width="9.140625" style="9"/>
    <col min="3855" max="3855" width="10.28515625" style="9" bestFit="1" customWidth="1"/>
    <col min="3856" max="4029" width="9.140625" style="9"/>
    <col min="4030" max="4030" width="15.28515625" style="9" bestFit="1" customWidth="1"/>
    <col min="4031" max="4031" width="17.140625" style="9" customWidth="1"/>
    <col min="4032" max="4032" width="28" style="9" customWidth="1"/>
    <col min="4033" max="4033" width="2.7109375" style="9" bestFit="1" customWidth="1"/>
    <col min="4034" max="4034" width="0" style="9" hidden="1" customWidth="1"/>
    <col min="4035" max="4039" width="12.42578125" style="9" customWidth="1"/>
    <col min="4040" max="4040" width="9.5703125" style="9" customWidth="1"/>
    <col min="4041" max="4041" width="12.42578125" style="9" customWidth="1"/>
    <col min="4042" max="4042" width="9.85546875" style="9" customWidth="1"/>
    <col min="4043" max="4043" width="0" style="9" hidden="1" customWidth="1"/>
    <col min="4044" max="4045" width="11.42578125" style="9" customWidth="1"/>
    <col min="4046" max="4046" width="8.7109375" style="9" customWidth="1"/>
    <col min="4047" max="4047" width="0" style="9" hidden="1" customWidth="1"/>
    <col min="4048" max="4049" width="8" style="9" customWidth="1"/>
    <col min="4050" max="4051" width="9.28515625" style="9" customWidth="1"/>
    <col min="4052" max="4052" width="20.7109375" style="9" customWidth="1"/>
    <col min="4053" max="4053" width="18.42578125" style="9" customWidth="1"/>
    <col min="4054" max="4055" width="12.85546875" style="9" customWidth="1"/>
    <col min="4056" max="4056" width="9" style="9" customWidth="1"/>
    <col min="4057" max="4057" width="10.85546875" style="9" bestFit="1" customWidth="1"/>
    <col min="4058" max="4058" width="11.28515625" style="9" customWidth="1"/>
    <col min="4059" max="4059" width="12.5703125" style="9" customWidth="1"/>
    <col min="4060" max="4060" width="12.42578125" style="9" customWidth="1"/>
    <col min="4061" max="4061" width="5" style="9" customWidth="1"/>
    <col min="4062" max="4062" width="16" style="9" customWidth="1"/>
    <col min="4063" max="4063" width="18.85546875" style="9" customWidth="1"/>
    <col min="4064" max="4064" width="16.28515625" style="9" customWidth="1"/>
    <col min="4065" max="4067" width="10.5703125" style="9" customWidth="1"/>
    <col min="4068" max="4069" width="12.42578125" style="9" customWidth="1"/>
    <col min="4070" max="4070" width="9.85546875" style="9" customWidth="1"/>
    <col min="4071" max="4071" width="16.28515625" style="9" customWidth="1"/>
    <col min="4072" max="4072" width="17.85546875" style="9" customWidth="1"/>
    <col min="4073" max="4073" width="16.28515625" style="9" customWidth="1"/>
    <col min="4074" max="4074" width="17.85546875" style="9" customWidth="1"/>
    <col min="4075" max="4075" width="16.28515625" style="9" customWidth="1"/>
    <col min="4076" max="4076" width="10.28515625" style="9" customWidth="1"/>
    <col min="4077" max="4077" width="9.7109375" style="9" customWidth="1"/>
    <col min="4078" max="4078" width="11.42578125" style="9" customWidth="1"/>
    <col min="4079" max="4079" width="10.85546875" style="9" customWidth="1"/>
    <col min="4080" max="4080" width="14.5703125" style="9" customWidth="1"/>
    <col min="4081" max="4081" width="9.28515625" style="9" customWidth="1"/>
    <col min="4082" max="4082" width="11.42578125" style="9" customWidth="1"/>
    <col min="4083" max="4083" width="10.42578125" style="9" customWidth="1"/>
    <col min="4084" max="4085" width="16.28515625" style="9" customWidth="1"/>
    <col min="4086" max="4086" width="14.140625" style="9" customWidth="1"/>
    <col min="4087" max="4087" width="12" style="9" bestFit="1" customWidth="1"/>
    <col min="4088" max="4088" width="17.85546875" style="9" customWidth="1"/>
    <col min="4089" max="4089" width="9.140625" style="9"/>
    <col min="4090" max="4090" width="10.7109375" style="9" bestFit="1" customWidth="1"/>
    <col min="4091" max="4110" width="9.140625" style="9"/>
    <col min="4111" max="4111" width="10.28515625" style="9" bestFit="1" customWidth="1"/>
    <col min="4112" max="4285" width="9.140625" style="9"/>
    <col min="4286" max="4286" width="15.28515625" style="9" bestFit="1" customWidth="1"/>
    <col min="4287" max="4287" width="17.140625" style="9" customWidth="1"/>
    <col min="4288" max="4288" width="28" style="9" customWidth="1"/>
    <col min="4289" max="4289" width="2.7109375" style="9" bestFit="1" customWidth="1"/>
    <col min="4290" max="4290" width="0" style="9" hidden="1" customWidth="1"/>
    <col min="4291" max="4295" width="12.42578125" style="9" customWidth="1"/>
    <col min="4296" max="4296" width="9.5703125" style="9" customWidth="1"/>
    <col min="4297" max="4297" width="12.42578125" style="9" customWidth="1"/>
    <col min="4298" max="4298" width="9.85546875" style="9" customWidth="1"/>
    <col min="4299" max="4299" width="0" style="9" hidden="1" customWidth="1"/>
    <col min="4300" max="4301" width="11.42578125" style="9" customWidth="1"/>
    <col min="4302" max="4302" width="8.7109375" style="9" customWidth="1"/>
    <col min="4303" max="4303" width="0" style="9" hidden="1" customWidth="1"/>
    <col min="4304" max="4305" width="8" style="9" customWidth="1"/>
    <col min="4306" max="4307" width="9.28515625" style="9" customWidth="1"/>
    <col min="4308" max="4308" width="20.7109375" style="9" customWidth="1"/>
    <col min="4309" max="4309" width="18.42578125" style="9" customWidth="1"/>
    <col min="4310" max="4311" width="12.85546875" style="9" customWidth="1"/>
    <col min="4312" max="4312" width="9" style="9" customWidth="1"/>
    <col min="4313" max="4313" width="10.85546875" style="9" bestFit="1" customWidth="1"/>
    <col min="4314" max="4314" width="11.28515625" style="9" customWidth="1"/>
    <col min="4315" max="4315" width="12.5703125" style="9" customWidth="1"/>
    <col min="4316" max="4316" width="12.42578125" style="9" customWidth="1"/>
    <col min="4317" max="4317" width="5" style="9" customWidth="1"/>
    <col min="4318" max="4318" width="16" style="9" customWidth="1"/>
    <col min="4319" max="4319" width="18.85546875" style="9" customWidth="1"/>
    <col min="4320" max="4320" width="16.28515625" style="9" customWidth="1"/>
    <col min="4321" max="4323" width="10.5703125" style="9" customWidth="1"/>
    <col min="4324" max="4325" width="12.42578125" style="9" customWidth="1"/>
    <col min="4326" max="4326" width="9.85546875" style="9" customWidth="1"/>
    <col min="4327" max="4327" width="16.28515625" style="9" customWidth="1"/>
    <col min="4328" max="4328" width="17.85546875" style="9" customWidth="1"/>
    <col min="4329" max="4329" width="16.28515625" style="9" customWidth="1"/>
    <col min="4330" max="4330" width="17.85546875" style="9" customWidth="1"/>
    <col min="4331" max="4331" width="16.28515625" style="9" customWidth="1"/>
    <col min="4332" max="4332" width="10.28515625" style="9" customWidth="1"/>
    <col min="4333" max="4333" width="9.7109375" style="9" customWidth="1"/>
    <col min="4334" max="4334" width="11.42578125" style="9" customWidth="1"/>
    <col min="4335" max="4335" width="10.85546875" style="9" customWidth="1"/>
    <col min="4336" max="4336" width="14.5703125" style="9" customWidth="1"/>
    <col min="4337" max="4337" width="9.28515625" style="9" customWidth="1"/>
    <col min="4338" max="4338" width="11.42578125" style="9" customWidth="1"/>
    <col min="4339" max="4339" width="10.42578125" style="9" customWidth="1"/>
    <col min="4340" max="4341" width="16.28515625" style="9" customWidth="1"/>
    <col min="4342" max="4342" width="14.140625" style="9" customWidth="1"/>
    <col min="4343" max="4343" width="12" style="9" bestFit="1" customWidth="1"/>
    <col min="4344" max="4344" width="17.85546875" style="9" customWidth="1"/>
    <col min="4345" max="4345" width="9.140625" style="9"/>
    <col min="4346" max="4346" width="10.7109375" style="9" bestFit="1" customWidth="1"/>
    <col min="4347" max="4366" width="9.140625" style="9"/>
    <col min="4367" max="4367" width="10.28515625" style="9" bestFit="1" customWidth="1"/>
    <col min="4368" max="4541" width="9.140625" style="9"/>
    <col min="4542" max="4542" width="15.28515625" style="9" bestFit="1" customWidth="1"/>
    <col min="4543" max="4543" width="17.140625" style="9" customWidth="1"/>
    <col min="4544" max="4544" width="28" style="9" customWidth="1"/>
    <col min="4545" max="4545" width="2.7109375" style="9" bestFit="1" customWidth="1"/>
    <col min="4546" max="4546" width="0" style="9" hidden="1" customWidth="1"/>
    <col min="4547" max="4551" width="12.42578125" style="9" customWidth="1"/>
    <col min="4552" max="4552" width="9.5703125" style="9" customWidth="1"/>
    <col min="4553" max="4553" width="12.42578125" style="9" customWidth="1"/>
    <col min="4554" max="4554" width="9.85546875" style="9" customWidth="1"/>
    <col min="4555" max="4555" width="0" style="9" hidden="1" customWidth="1"/>
    <col min="4556" max="4557" width="11.42578125" style="9" customWidth="1"/>
    <col min="4558" max="4558" width="8.7109375" style="9" customWidth="1"/>
    <col min="4559" max="4559" width="0" style="9" hidden="1" customWidth="1"/>
    <col min="4560" max="4561" width="8" style="9" customWidth="1"/>
    <col min="4562" max="4563" width="9.28515625" style="9" customWidth="1"/>
    <col min="4564" max="4564" width="20.7109375" style="9" customWidth="1"/>
    <col min="4565" max="4565" width="18.42578125" style="9" customWidth="1"/>
    <col min="4566" max="4567" width="12.85546875" style="9" customWidth="1"/>
    <col min="4568" max="4568" width="9" style="9" customWidth="1"/>
    <col min="4569" max="4569" width="10.85546875" style="9" bestFit="1" customWidth="1"/>
    <col min="4570" max="4570" width="11.28515625" style="9" customWidth="1"/>
    <col min="4571" max="4571" width="12.5703125" style="9" customWidth="1"/>
    <col min="4572" max="4572" width="12.42578125" style="9" customWidth="1"/>
    <col min="4573" max="4573" width="5" style="9" customWidth="1"/>
    <col min="4574" max="4574" width="16" style="9" customWidth="1"/>
    <col min="4575" max="4575" width="18.85546875" style="9" customWidth="1"/>
    <col min="4576" max="4576" width="16.28515625" style="9" customWidth="1"/>
    <col min="4577" max="4579" width="10.5703125" style="9" customWidth="1"/>
    <col min="4580" max="4581" width="12.42578125" style="9" customWidth="1"/>
    <col min="4582" max="4582" width="9.85546875" style="9" customWidth="1"/>
    <col min="4583" max="4583" width="16.28515625" style="9" customWidth="1"/>
    <col min="4584" max="4584" width="17.85546875" style="9" customWidth="1"/>
    <col min="4585" max="4585" width="16.28515625" style="9" customWidth="1"/>
    <col min="4586" max="4586" width="17.85546875" style="9" customWidth="1"/>
    <col min="4587" max="4587" width="16.28515625" style="9" customWidth="1"/>
    <col min="4588" max="4588" width="10.28515625" style="9" customWidth="1"/>
    <col min="4589" max="4589" width="9.7109375" style="9" customWidth="1"/>
    <col min="4590" max="4590" width="11.42578125" style="9" customWidth="1"/>
    <col min="4591" max="4591" width="10.85546875" style="9" customWidth="1"/>
    <col min="4592" max="4592" width="14.5703125" style="9" customWidth="1"/>
    <col min="4593" max="4593" width="9.28515625" style="9" customWidth="1"/>
    <col min="4594" max="4594" width="11.42578125" style="9" customWidth="1"/>
    <col min="4595" max="4595" width="10.42578125" style="9" customWidth="1"/>
    <col min="4596" max="4597" width="16.28515625" style="9" customWidth="1"/>
    <col min="4598" max="4598" width="14.140625" style="9" customWidth="1"/>
    <col min="4599" max="4599" width="12" style="9" bestFit="1" customWidth="1"/>
    <col min="4600" max="4600" width="17.85546875" style="9" customWidth="1"/>
    <col min="4601" max="4601" width="9.140625" style="9"/>
    <col min="4602" max="4602" width="10.7109375" style="9" bestFit="1" customWidth="1"/>
    <col min="4603" max="4622" width="9.140625" style="9"/>
    <col min="4623" max="4623" width="10.28515625" style="9" bestFit="1" customWidth="1"/>
    <col min="4624" max="4797" width="9.140625" style="9"/>
    <col min="4798" max="4798" width="15.28515625" style="9" bestFit="1" customWidth="1"/>
    <col min="4799" max="4799" width="17.140625" style="9" customWidth="1"/>
    <col min="4800" max="4800" width="28" style="9" customWidth="1"/>
    <col min="4801" max="4801" width="2.7109375" style="9" bestFit="1" customWidth="1"/>
    <col min="4802" max="4802" width="0" style="9" hidden="1" customWidth="1"/>
    <col min="4803" max="4807" width="12.42578125" style="9" customWidth="1"/>
    <col min="4808" max="4808" width="9.5703125" style="9" customWidth="1"/>
    <col min="4809" max="4809" width="12.42578125" style="9" customWidth="1"/>
    <col min="4810" max="4810" width="9.85546875" style="9" customWidth="1"/>
    <col min="4811" max="4811" width="0" style="9" hidden="1" customWidth="1"/>
    <col min="4812" max="4813" width="11.42578125" style="9" customWidth="1"/>
    <col min="4814" max="4814" width="8.7109375" style="9" customWidth="1"/>
    <col min="4815" max="4815" width="0" style="9" hidden="1" customWidth="1"/>
    <col min="4816" max="4817" width="8" style="9" customWidth="1"/>
    <col min="4818" max="4819" width="9.28515625" style="9" customWidth="1"/>
    <col min="4820" max="4820" width="20.7109375" style="9" customWidth="1"/>
    <col min="4821" max="4821" width="18.42578125" style="9" customWidth="1"/>
    <col min="4822" max="4823" width="12.85546875" style="9" customWidth="1"/>
    <col min="4824" max="4824" width="9" style="9" customWidth="1"/>
    <col min="4825" max="4825" width="10.85546875" style="9" bestFit="1" customWidth="1"/>
    <col min="4826" max="4826" width="11.28515625" style="9" customWidth="1"/>
    <col min="4827" max="4827" width="12.5703125" style="9" customWidth="1"/>
    <col min="4828" max="4828" width="12.42578125" style="9" customWidth="1"/>
    <col min="4829" max="4829" width="5" style="9" customWidth="1"/>
    <col min="4830" max="4830" width="16" style="9" customWidth="1"/>
    <col min="4831" max="4831" width="18.85546875" style="9" customWidth="1"/>
    <col min="4832" max="4832" width="16.28515625" style="9" customWidth="1"/>
    <col min="4833" max="4835" width="10.5703125" style="9" customWidth="1"/>
    <col min="4836" max="4837" width="12.42578125" style="9" customWidth="1"/>
    <col min="4838" max="4838" width="9.85546875" style="9" customWidth="1"/>
    <col min="4839" max="4839" width="16.28515625" style="9" customWidth="1"/>
    <col min="4840" max="4840" width="17.85546875" style="9" customWidth="1"/>
    <col min="4841" max="4841" width="16.28515625" style="9" customWidth="1"/>
    <col min="4842" max="4842" width="17.85546875" style="9" customWidth="1"/>
    <col min="4843" max="4843" width="16.28515625" style="9" customWidth="1"/>
    <col min="4844" max="4844" width="10.28515625" style="9" customWidth="1"/>
    <col min="4845" max="4845" width="9.7109375" style="9" customWidth="1"/>
    <col min="4846" max="4846" width="11.42578125" style="9" customWidth="1"/>
    <col min="4847" max="4847" width="10.85546875" style="9" customWidth="1"/>
    <col min="4848" max="4848" width="14.5703125" style="9" customWidth="1"/>
    <col min="4849" max="4849" width="9.28515625" style="9" customWidth="1"/>
    <col min="4850" max="4850" width="11.42578125" style="9" customWidth="1"/>
    <col min="4851" max="4851" width="10.42578125" style="9" customWidth="1"/>
    <col min="4852" max="4853" width="16.28515625" style="9" customWidth="1"/>
    <col min="4854" max="4854" width="14.140625" style="9" customWidth="1"/>
    <col min="4855" max="4855" width="12" style="9" bestFit="1" customWidth="1"/>
    <col min="4856" max="4856" width="17.85546875" style="9" customWidth="1"/>
    <col min="4857" max="4857" width="9.140625" style="9"/>
    <col min="4858" max="4858" width="10.7109375" style="9" bestFit="1" customWidth="1"/>
    <col min="4859" max="4878" width="9.140625" style="9"/>
    <col min="4879" max="4879" width="10.28515625" style="9" bestFit="1" customWidth="1"/>
    <col min="4880" max="5053" width="9.140625" style="9"/>
    <col min="5054" max="5054" width="15.28515625" style="9" bestFit="1" customWidth="1"/>
    <col min="5055" max="5055" width="17.140625" style="9" customWidth="1"/>
    <col min="5056" max="5056" width="28" style="9" customWidth="1"/>
    <col min="5057" max="5057" width="2.7109375" style="9" bestFit="1" customWidth="1"/>
    <col min="5058" max="5058" width="0" style="9" hidden="1" customWidth="1"/>
    <col min="5059" max="5063" width="12.42578125" style="9" customWidth="1"/>
    <col min="5064" max="5064" width="9.5703125" style="9" customWidth="1"/>
    <col min="5065" max="5065" width="12.42578125" style="9" customWidth="1"/>
    <col min="5066" max="5066" width="9.85546875" style="9" customWidth="1"/>
    <col min="5067" max="5067" width="0" style="9" hidden="1" customWidth="1"/>
    <col min="5068" max="5069" width="11.42578125" style="9" customWidth="1"/>
    <col min="5070" max="5070" width="8.7109375" style="9" customWidth="1"/>
    <col min="5071" max="5071" width="0" style="9" hidden="1" customWidth="1"/>
    <col min="5072" max="5073" width="8" style="9" customWidth="1"/>
    <col min="5074" max="5075" width="9.28515625" style="9" customWidth="1"/>
    <col min="5076" max="5076" width="20.7109375" style="9" customWidth="1"/>
    <col min="5077" max="5077" width="18.42578125" style="9" customWidth="1"/>
    <col min="5078" max="5079" width="12.85546875" style="9" customWidth="1"/>
    <col min="5080" max="5080" width="9" style="9" customWidth="1"/>
    <col min="5081" max="5081" width="10.85546875" style="9" bestFit="1" customWidth="1"/>
    <col min="5082" max="5082" width="11.28515625" style="9" customWidth="1"/>
    <col min="5083" max="5083" width="12.5703125" style="9" customWidth="1"/>
    <col min="5084" max="5084" width="12.42578125" style="9" customWidth="1"/>
    <col min="5085" max="5085" width="5" style="9" customWidth="1"/>
    <col min="5086" max="5086" width="16" style="9" customWidth="1"/>
    <col min="5087" max="5087" width="18.85546875" style="9" customWidth="1"/>
    <col min="5088" max="5088" width="16.28515625" style="9" customWidth="1"/>
    <col min="5089" max="5091" width="10.5703125" style="9" customWidth="1"/>
    <col min="5092" max="5093" width="12.42578125" style="9" customWidth="1"/>
    <col min="5094" max="5094" width="9.85546875" style="9" customWidth="1"/>
    <col min="5095" max="5095" width="16.28515625" style="9" customWidth="1"/>
    <col min="5096" max="5096" width="17.85546875" style="9" customWidth="1"/>
    <col min="5097" max="5097" width="16.28515625" style="9" customWidth="1"/>
    <col min="5098" max="5098" width="17.85546875" style="9" customWidth="1"/>
    <col min="5099" max="5099" width="16.28515625" style="9" customWidth="1"/>
    <col min="5100" max="5100" width="10.28515625" style="9" customWidth="1"/>
    <col min="5101" max="5101" width="9.7109375" style="9" customWidth="1"/>
    <col min="5102" max="5102" width="11.42578125" style="9" customWidth="1"/>
    <col min="5103" max="5103" width="10.85546875" style="9" customWidth="1"/>
    <col min="5104" max="5104" width="14.5703125" style="9" customWidth="1"/>
    <col min="5105" max="5105" width="9.28515625" style="9" customWidth="1"/>
    <col min="5106" max="5106" width="11.42578125" style="9" customWidth="1"/>
    <col min="5107" max="5107" width="10.42578125" style="9" customWidth="1"/>
    <col min="5108" max="5109" width="16.28515625" style="9" customWidth="1"/>
    <col min="5110" max="5110" width="14.140625" style="9" customWidth="1"/>
    <col min="5111" max="5111" width="12" style="9" bestFit="1" customWidth="1"/>
    <col min="5112" max="5112" width="17.85546875" style="9" customWidth="1"/>
    <col min="5113" max="5113" width="9.140625" style="9"/>
    <col min="5114" max="5114" width="10.7109375" style="9" bestFit="1" customWidth="1"/>
    <col min="5115" max="5134" width="9.140625" style="9"/>
    <col min="5135" max="5135" width="10.28515625" style="9" bestFit="1" customWidth="1"/>
    <col min="5136" max="5309" width="9.140625" style="9"/>
    <col min="5310" max="5310" width="15.28515625" style="9" bestFit="1" customWidth="1"/>
    <col min="5311" max="5311" width="17.140625" style="9" customWidth="1"/>
    <col min="5312" max="5312" width="28" style="9" customWidth="1"/>
    <col min="5313" max="5313" width="2.7109375" style="9" bestFit="1" customWidth="1"/>
    <col min="5314" max="5314" width="0" style="9" hidden="1" customWidth="1"/>
    <col min="5315" max="5319" width="12.42578125" style="9" customWidth="1"/>
    <col min="5320" max="5320" width="9.5703125" style="9" customWidth="1"/>
    <col min="5321" max="5321" width="12.42578125" style="9" customWidth="1"/>
    <col min="5322" max="5322" width="9.85546875" style="9" customWidth="1"/>
    <col min="5323" max="5323" width="0" style="9" hidden="1" customWidth="1"/>
    <col min="5324" max="5325" width="11.42578125" style="9" customWidth="1"/>
    <col min="5326" max="5326" width="8.7109375" style="9" customWidth="1"/>
    <col min="5327" max="5327" width="0" style="9" hidden="1" customWidth="1"/>
    <col min="5328" max="5329" width="8" style="9" customWidth="1"/>
    <col min="5330" max="5331" width="9.28515625" style="9" customWidth="1"/>
    <col min="5332" max="5332" width="20.7109375" style="9" customWidth="1"/>
    <col min="5333" max="5333" width="18.42578125" style="9" customWidth="1"/>
    <col min="5334" max="5335" width="12.85546875" style="9" customWidth="1"/>
    <col min="5336" max="5336" width="9" style="9" customWidth="1"/>
    <col min="5337" max="5337" width="10.85546875" style="9" bestFit="1" customWidth="1"/>
    <col min="5338" max="5338" width="11.28515625" style="9" customWidth="1"/>
    <col min="5339" max="5339" width="12.5703125" style="9" customWidth="1"/>
    <col min="5340" max="5340" width="12.42578125" style="9" customWidth="1"/>
    <col min="5341" max="5341" width="5" style="9" customWidth="1"/>
    <col min="5342" max="5342" width="16" style="9" customWidth="1"/>
    <col min="5343" max="5343" width="18.85546875" style="9" customWidth="1"/>
    <col min="5344" max="5344" width="16.28515625" style="9" customWidth="1"/>
    <col min="5345" max="5347" width="10.5703125" style="9" customWidth="1"/>
    <col min="5348" max="5349" width="12.42578125" style="9" customWidth="1"/>
    <col min="5350" max="5350" width="9.85546875" style="9" customWidth="1"/>
    <col min="5351" max="5351" width="16.28515625" style="9" customWidth="1"/>
    <col min="5352" max="5352" width="17.85546875" style="9" customWidth="1"/>
    <col min="5353" max="5353" width="16.28515625" style="9" customWidth="1"/>
    <col min="5354" max="5354" width="17.85546875" style="9" customWidth="1"/>
    <col min="5355" max="5355" width="16.28515625" style="9" customWidth="1"/>
    <col min="5356" max="5356" width="10.28515625" style="9" customWidth="1"/>
    <col min="5357" max="5357" width="9.7109375" style="9" customWidth="1"/>
    <col min="5358" max="5358" width="11.42578125" style="9" customWidth="1"/>
    <col min="5359" max="5359" width="10.85546875" style="9" customWidth="1"/>
    <col min="5360" max="5360" width="14.5703125" style="9" customWidth="1"/>
    <col min="5361" max="5361" width="9.28515625" style="9" customWidth="1"/>
    <col min="5362" max="5362" width="11.42578125" style="9" customWidth="1"/>
    <col min="5363" max="5363" width="10.42578125" style="9" customWidth="1"/>
    <col min="5364" max="5365" width="16.28515625" style="9" customWidth="1"/>
    <col min="5366" max="5366" width="14.140625" style="9" customWidth="1"/>
    <col min="5367" max="5367" width="12" style="9" bestFit="1" customWidth="1"/>
    <col min="5368" max="5368" width="17.85546875" style="9" customWidth="1"/>
    <col min="5369" max="5369" width="9.140625" style="9"/>
    <col min="5370" max="5370" width="10.7109375" style="9" bestFit="1" customWidth="1"/>
    <col min="5371" max="5390" width="9.140625" style="9"/>
    <col min="5391" max="5391" width="10.28515625" style="9" bestFit="1" customWidth="1"/>
    <col min="5392" max="5565" width="9.140625" style="9"/>
    <col min="5566" max="5566" width="15.28515625" style="9" bestFit="1" customWidth="1"/>
    <col min="5567" max="5567" width="17.140625" style="9" customWidth="1"/>
    <col min="5568" max="5568" width="28" style="9" customWidth="1"/>
    <col min="5569" max="5569" width="2.7109375" style="9" bestFit="1" customWidth="1"/>
    <col min="5570" max="5570" width="0" style="9" hidden="1" customWidth="1"/>
    <col min="5571" max="5575" width="12.42578125" style="9" customWidth="1"/>
    <col min="5576" max="5576" width="9.5703125" style="9" customWidth="1"/>
    <col min="5577" max="5577" width="12.42578125" style="9" customWidth="1"/>
    <col min="5578" max="5578" width="9.85546875" style="9" customWidth="1"/>
    <col min="5579" max="5579" width="0" style="9" hidden="1" customWidth="1"/>
    <col min="5580" max="5581" width="11.42578125" style="9" customWidth="1"/>
    <col min="5582" max="5582" width="8.7109375" style="9" customWidth="1"/>
    <col min="5583" max="5583" width="0" style="9" hidden="1" customWidth="1"/>
    <col min="5584" max="5585" width="8" style="9" customWidth="1"/>
    <col min="5586" max="5587" width="9.28515625" style="9" customWidth="1"/>
    <col min="5588" max="5588" width="20.7109375" style="9" customWidth="1"/>
    <col min="5589" max="5589" width="18.42578125" style="9" customWidth="1"/>
    <col min="5590" max="5591" width="12.85546875" style="9" customWidth="1"/>
    <col min="5592" max="5592" width="9" style="9" customWidth="1"/>
    <col min="5593" max="5593" width="10.85546875" style="9" bestFit="1" customWidth="1"/>
    <col min="5594" max="5594" width="11.28515625" style="9" customWidth="1"/>
    <col min="5595" max="5595" width="12.5703125" style="9" customWidth="1"/>
    <col min="5596" max="5596" width="12.42578125" style="9" customWidth="1"/>
    <col min="5597" max="5597" width="5" style="9" customWidth="1"/>
    <col min="5598" max="5598" width="16" style="9" customWidth="1"/>
    <col min="5599" max="5599" width="18.85546875" style="9" customWidth="1"/>
    <col min="5600" max="5600" width="16.28515625" style="9" customWidth="1"/>
    <col min="5601" max="5603" width="10.5703125" style="9" customWidth="1"/>
    <col min="5604" max="5605" width="12.42578125" style="9" customWidth="1"/>
    <col min="5606" max="5606" width="9.85546875" style="9" customWidth="1"/>
    <col min="5607" max="5607" width="16.28515625" style="9" customWidth="1"/>
    <col min="5608" max="5608" width="17.85546875" style="9" customWidth="1"/>
    <col min="5609" max="5609" width="16.28515625" style="9" customWidth="1"/>
    <col min="5610" max="5610" width="17.85546875" style="9" customWidth="1"/>
    <col min="5611" max="5611" width="16.28515625" style="9" customWidth="1"/>
    <col min="5612" max="5612" width="10.28515625" style="9" customWidth="1"/>
    <col min="5613" max="5613" width="9.7109375" style="9" customWidth="1"/>
    <col min="5614" max="5614" width="11.42578125" style="9" customWidth="1"/>
    <col min="5615" max="5615" width="10.85546875" style="9" customWidth="1"/>
    <col min="5616" max="5616" width="14.5703125" style="9" customWidth="1"/>
    <col min="5617" max="5617" width="9.28515625" style="9" customWidth="1"/>
    <col min="5618" max="5618" width="11.42578125" style="9" customWidth="1"/>
    <col min="5619" max="5619" width="10.42578125" style="9" customWidth="1"/>
    <col min="5620" max="5621" width="16.28515625" style="9" customWidth="1"/>
    <col min="5622" max="5622" width="14.140625" style="9" customWidth="1"/>
    <col min="5623" max="5623" width="12" style="9" bestFit="1" customWidth="1"/>
    <col min="5624" max="5624" width="17.85546875" style="9" customWidth="1"/>
    <col min="5625" max="5625" width="9.140625" style="9"/>
    <col min="5626" max="5626" width="10.7109375" style="9" bestFit="1" customWidth="1"/>
    <col min="5627" max="5646" width="9.140625" style="9"/>
    <col min="5647" max="5647" width="10.28515625" style="9" bestFit="1" customWidth="1"/>
    <col min="5648" max="5821" width="9.140625" style="9"/>
    <col min="5822" max="5822" width="15.28515625" style="9" bestFit="1" customWidth="1"/>
    <col min="5823" max="5823" width="17.140625" style="9" customWidth="1"/>
    <col min="5824" max="5824" width="28" style="9" customWidth="1"/>
    <col min="5825" max="5825" width="2.7109375" style="9" bestFit="1" customWidth="1"/>
    <col min="5826" max="5826" width="0" style="9" hidden="1" customWidth="1"/>
    <col min="5827" max="5831" width="12.42578125" style="9" customWidth="1"/>
    <col min="5832" max="5832" width="9.5703125" style="9" customWidth="1"/>
    <col min="5833" max="5833" width="12.42578125" style="9" customWidth="1"/>
    <col min="5834" max="5834" width="9.85546875" style="9" customWidth="1"/>
    <col min="5835" max="5835" width="0" style="9" hidden="1" customWidth="1"/>
    <col min="5836" max="5837" width="11.42578125" style="9" customWidth="1"/>
    <col min="5838" max="5838" width="8.7109375" style="9" customWidth="1"/>
    <col min="5839" max="5839" width="0" style="9" hidden="1" customWidth="1"/>
    <col min="5840" max="5841" width="8" style="9" customWidth="1"/>
    <col min="5842" max="5843" width="9.28515625" style="9" customWidth="1"/>
    <col min="5844" max="5844" width="20.7109375" style="9" customWidth="1"/>
    <col min="5845" max="5845" width="18.42578125" style="9" customWidth="1"/>
    <col min="5846" max="5847" width="12.85546875" style="9" customWidth="1"/>
    <col min="5848" max="5848" width="9" style="9" customWidth="1"/>
    <col min="5849" max="5849" width="10.85546875" style="9" bestFit="1" customWidth="1"/>
    <col min="5850" max="5850" width="11.28515625" style="9" customWidth="1"/>
    <col min="5851" max="5851" width="12.5703125" style="9" customWidth="1"/>
    <col min="5852" max="5852" width="12.42578125" style="9" customWidth="1"/>
    <col min="5853" max="5853" width="5" style="9" customWidth="1"/>
    <col min="5854" max="5854" width="16" style="9" customWidth="1"/>
    <col min="5855" max="5855" width="18.85546875" style="9" customWidth="1"/>
    <col min="5856" max="5856" width="16.28515625" style="9" customWidth="1"/>
    <col min="5857" max="5859" width="10.5703125" style="9" customWidth="1"/>
    <col min="5860" max="5861" width="12.42578125" style="9" customWidth="1"/>
    <col min="5862" max="5862" width="9.85546875" style="9" customWidth="1"/>
    <col min="5863" max="5863" width="16.28515625" style="9" customWidth="1"/>
    <col min="5864" max="5864" width="17.85546875" style="9" customWidth="1"/>
    <col min="5865" max="5865" width="16.28515625" style="9" customWidth="1"/>
    <col min="5866" max="5866" width="17.85546875" style="9" customWidth="1"/>
    <col min="5867" max="5867" width="16.28515625" style="9" customWidth="1"/>
    <col min="5868" max="5868" width="10.28515625" style="9" customWidth="1"/>
    <col min="5869" max="5869" width="9.7109375" style="9" customWidth="1"/>
    <col min="5870" max="5870" width="11.42578125" style="9" customWidth="1"/>
    <col min="5871" max="5871" width="10.85546875" style="9" customWidth="1"/>
    <col min="5872" max="5872" width="14.5703125" style="9" customWidth="1"/>
    <col min="5873" max="5873" width="9.28515625" style="9" customWidth="1"/>
    <col min="5874" max="5874" width="11.42578125" style="9" customWidth="1"/>
    <col min="5875" max="5875" width="10.42578125" style="9" customWidth="1"/>
    <col min="5876" max="5877" width="16.28515625" style="9" customWidth="1"/>
    <col min="5878" max="5878" width="14.140625" style="9" customWidth="1"/>
    <col min="5879" max="5879" width="12" style="9" bestFit="1" customWidth="1"/>
    <col min="5880" max="5880" width="17.85546875" style="9" customWidth="1"/>
    <col min="5881" max="5881" width="9.140625" style="9"/>
    <col min="5882" max="5882" width="10.7109375" style="9" bestFit="1" customWidth="1"/>
    <col min="5883" max="5902" width="9.140625" style="9"/>
    <col min="5903" max="5903" width="10.28515625" style="9" bestFit="1" customWidth="1"/>
    <col min="5904" max="6077" width="9.140625" style="9"/>
    <col min="6078" max="6078" width="15.28515625" style="9" bestFit="1" customWidth="1"/>
    <col min="6079" max="6079" width="17.140625" style="9" customWidth="1"/>
    <col min="6080" max="6080" width="28" style="9" customWidth="1"/>
    <col min="6081" max="6081" width="2.7109375" style="9" bestFit="1" customWidth="1"/>
    <col min="6082" max="6082" width="0" style="9" hidden="1" customWidth="1"/>
    <col min="6083" max="6087" width="12.42578125" style="9" customWidth="1"/>
    <col min="6088" max="6088" width="9.5703125" style="9" customWidth="1"/>
    <col min="6089" max="6089" width="12.42578125" style="9" customWidth="1"/>
    <col min="6090" max="6090" width="9.85546875" style="9" customWidth="1"/>
    <col min="6091" max="6091" width="0" style="9" hidden="1" customWidth="1"/>
    <col min="6092" max="6093" width="11.42578125" style="9" customWidth="1"/>
    <col min="6094" max="6094" width="8.7109375" style="9" customWidth="1"/>
    <col min="6095" max="6095" width="0" style="9" hidden="1" customWidth="1"/>
    <col min="6096" max="6097" width="8" style="9" customWidth="1"/>
    <col min="6098" max="6099" width="9.28515625" style="9" customWidth="1"/>
    <col min="6100" max="6100" width="20.7109375" style="9" customWidth="1"/>
    <col min="6101" max="6101" width="18.42578125" style="9" customWidth="1"/>
    <col min="6102" max="6103" width="12.85546875" style="9" customWidth="1"/>
    <col min="6104" max="6104" width="9" style="9" customWidth="1"/>
    <col min="6105" max="6105" width="10.85546875" style="9" bestFit="1" customWidth="1"/>
    <col min="6106" max="6106" width="11.28515625" style="9" customWidth="1"/>
    <col min="6107" max="6107" width="12.5703125" style="9" customWidth="1"/>
    <col min="6108" max="6108" width="12.42578125" style="9" customWidth="1"/>
    <col min="6109" max="6109" width="5" style="9" customWidth="1"/>
    <col min="6110" max="6110" width="16" style="9" customWidth="1"/>
    <col min="6111" max="6111" width="18.85546875" style="9" customWidth="1"/>
    <col min="6112" max="6112" width="16.28515625" style="9" customWidth="1"/>
    <col min="6113" max="6115" width="10.5703125" style="9" customWidth="1"/>
    <col min="6116" max="6117" width="12.42578125" style="9" customWidth="1"/>
    <col min="6118" max="6118" width="9.85546875" style="9" customWidth="1"/>
    <col min="6119" max="6119" width="16.28515625" style="9" customWidth="1"/>
    <col min="6120" max="6120" width="17.85546875" style="9" customWidth="1"/>
    <col min="6121" max="6121" width="16.28515625" style="9" customWidth="1"/>
    <col min="6122" max="6122" width="17.85546875" style="9" customWidth="1"/>
    <col min="6123" max="6123" width="16.28515625" style="9" customWidth="1"/>
    <col min="6124" max="6124" width="10.28515625" style="9" customWidth="1"/>
    <col min="6125" max="6125" width="9.7109375" style="9" customWidth="1"/>
    <col min="6126" max="6126" width="11.42578125" style="9" customWidth="1"/>
    <col min="6127" max="6127" width="10.85546875" style="9" customWidth="1"/>
    <col min="6128" max="6128" width="14.5703125" style="9" customWidth="1"/>
    <col min="6129" max="6129" width="9.28515625" style="9" customWidth="1"/>
    <col min="6130" max="6130" width="11.42578125" style="9" customWidth="1"/>
    <col min="6131" max="6131" width="10.42578125" style="9" customWidth="1"/>
    <col min="6132" max="6133" width="16.28515625" style="9" customWidth="1"/>
    <col min="6134" max="6134" width="14.140625" style="9" customWidth="1"/>
    <col min="6135" max="6135" width="12" style="9" bestFit="1" customWidth="1"/>
    <col min="6136" max="6136" width="17.85546875" style="9" customWidth="1"/>
    <col min="6137" max="6137" width="9.140625" style="9"/>
    <col min="6138" max="6138" width="10.7109375" style="9" bestFit="1" customWidth="1"/>
    <col min="6139" max="6158" width="9.140625" style="9"/>
    <col min="6159" max="6159" width="10.28515625" style="9" bestFit="1" customWidth="1"/>
    <col min="6160" max="6333" width="9.140625" style="9"/>
    <col min="6334" max="6334" width="15.28515625" style="9" bestFit="1" customWidth="1"/>
    <col min="6335" max="6335" width="17.140625" style="9" customWidth="1"/>
    <col min="6336" max="6336" width="28" style="9" customWidth="1"/>
    <col min="6337" max="6337" width="2.7109375" style="9" bestFit="1" customWidth="1"/>
    <col min="6338" max="6338" width="0" style="9" hidden="1" customWidth="1"/>
    <col min="6339" max="6343" width="12.42578125" style="9" customWidth="1"/>
    <col min="6344" max="6344" width="9.5703125" style="9" customWidth="1"/>
    <col min="6345" max="6345" width="12.42578125" style="9" customWidth="1"/>
    <col min="6346" max="6346" width="9.85546875" style="9" customWidth="1"/>
    <col min="6347" max="6347" width="0" style="9" hidden="1" customWidth="1"/>
    <col min="6348" max="6349" width="11.42578125" style="9" customWidth="1"/>
    <col min="6350" max="6350" width="8.7109375" style="9" customWidth="1"/>
    <col min="6351" max="6351" width="0" style="9" hidden="1" customWidth="1"/>
    <col min="6352" max="6353" width="8" style="9" customWidth="1"/>
    <col min="6354" max="6355" width="9.28515625" style="9" customWidth="1"/>
    <col min="6356" max="6356" width="20.7109375" style="9" customWidth="1"/>
    <col min="6357" max="6357" width="18.42578125" style="9" customWidth="1"/>
    <col min="6358" max="6359" width="12.85546875" style="9" customWidth="1"/>
    <col min="6360" max="6360" width="9" style="9" customWidth="1"/>
    <col min="6361" max="6361" width="10.85546875" style="9" bestFit="1" customWidth="1"/>
    <col min="6362" max="6362" width="11.28515625" style="9" customWidth="1"/>
    <col min="6363" max="6363" width="12.5703125" style="9" customWidth="1"/>
    <col min="6364" max="6364" width="12.42578125" style="9" customWidth="1"/>
    <col min="6365" max="6365" width="5" style="9" customWidth="1"/>
    <col min="6366" max="6366" width="16" style="9" customWidth="1"/>
    <col min="6367" max="6367" width="18.85546875" style="9" customWidth="1"/>
    <col min="6368" max="6368" width="16.28515625" style="9" customWidth="1"/>
    <col min="6369" max="6371" width="10.5703125" style="9" customWidth="1"/>
    <col min="6372" max="6373" width="12.42578125" style="9" customWidth="1"/>
    <col min="6374" max="6374" width="9.85546875" style="9" customWidth="1"/>
    <col min="6375" max="6375" width="16.28515625" style="9" customWidth="1"/>
    <col min="6376" max="6376" width="17.85546875" style="9" customWidth="1"/>
    <col min="6377" max="6377" width="16.28515625" style="9" customWidth="1"/>
    <col min="6378" max="6378" width="17.85546875" style="9" customWidth="1"/>
    <col min="6379" max="6379" width="16.28515625" style="9" customWidth="1"/>
    <col min="6380" max="6380" width="10.28515625" style="9" customWidth="1"/>
    <col min="6381" max="6381" width="9.7109375" style="9" customWidth="1"/>
    <col min="6382" max="6382" width="11.42578125" style="9" customWidth="1"/>
    <col min="6383" max="6383" width="10.85546875" style="9" customWidth="1"/>
    <col min="6384" max="6384" width="14.5703125" style="9" customWidth="1"/>
    <col min="6385" max="6385" width="9.28515625" style="9" customWidth="1"/>
    <col min="6386" max="6386" width="11.42578125" style="9" customWidth="1"/>
    <col min="6387" max="6387" width="10.42578125" style="9" customWidth="1"/>
    <col min="6388" max="6389" width="16.28515625" style="9" customWidth="1"/>
    <col min="6390" max="6390" width="14.140625" style="9" customWidth="1"/>
    <col min="6391" max="6391" width="12" style="9" bestFit="1" customWidth="1"/>
    <col min="6392" max="6392" width="17.85546875" style="9" customWidth="1"/>
    <col min="6393" max="6393" width="9.140625" style="9"/>
    <col min="6394" max="6394" width="10.7109375" style="9" bestFit="1" customWidth="1"/>
    <col min="6395" max="6414" width="9.140625" style="9"/>
    <col min="6415" max="6415" width="10.28515625" style="9" bestFit="1" customWidth="1"/>
    <col min="6416" max="6589" width="9.140625" style="9"/>
    <col min="6590" max="6590" width="15.28515625" style="9" bestFit="1" customWidth="1"/>
    <col min="6591" max="6591" width="17.140625" style="9" customWidth="1"/>
    <col min="6592" max="6592" width="28" style="9" customWidth="1"/>
    <col min="6593" max="6593" width="2.7109375" style="9" bestFit="1" customWidth="1"/>
    <col min="6594" max="6594" width="0" style="9" hidden="1" customWidth="1"/>
    <col min="6595" max="6599" width="12.42578125" style="9" customWidth="1"/>
    <col min="6600" max="6600" width="9.5703125" style="9" customWidth="1"/>
    <col min="6601" max="6601" width="12.42578125" style="9" customWidth="1"/>
    <col min="6602" max="6602" width="9.85546875" style="9" customWidth="1"/>
    <col min="6603" max="6603" width="0" style="9" hidden="1" customWidth="1"/>
    <col min="6604" max="6605" width="11.42578125" style="9" customWidth="1"/>
    <col min="6606" max="6606" width="8.7109375" style="9" customWidth="1"/>
    <col min="6607" max="6607" width="0" style="9" hidden="1" customWidth="1"/>
    <col min="6608" max="6609" width="8" style="9" customWidth="1"/>
    <col min="6610" max="6611" width="9.28515625" style="9" customWidth="1"/>
    <col min="6612" max="6612" width="20.7109375" style="9" customWidth="1"/>
    <col min="6613" max="6613" width="18.42578125" style="9" customWidth="1"/>
    <col min="6614" max="6615" width="12.85546875" style="9" customWidth="1"/>
    <col min="6616" max="6616" width="9" style="9" customWidth="1"/>
    <col min="6617" max="6617" width="10.85546875" style="9" bestFit="1" customWidth="1"/>
    <col min="6618" max="6618" width="11.28515625" style="9" customWidth="1"/>
    <col min="6619" max="6619" width="12.5703125" style="9" customWidth="1"/>
    <col min="6620" max="6620" width="12.42578125" style="9" customWidth="1"/>
    <col min="6621" max="6621" width="5" style="9" customWidth="1"/>
    <col min="6622" max="6622" width="16" style="9" customWidth="1"/>
    <col min="6623" max="6623" width="18.85546875" style="9" customWidth="1"/>
    <col min="6624" max="6624" width="16.28515625" style="9" customWidth="1"/>
    <col min="6625" max="6627" width="10.5703125" style="9" customWidth="1"/>
    <col min="6628" max="6629" width="12.42578125" style="9" customWidth="1"/>
    <col min="6630" max="6630" width="9.85546875" style="9" customWidth="1"/>
    <col min="6631" max="6631" width="16.28515625" style="9" customWidth="1"/>
    <col min="6632" max="6632" width="17.85546875" style="9" customWidth="1"/>
    <col min="6633" max="6633" width="16.28515625" style="9" customWidth="1"/>
    <col min="6634" max="6634" width="17.85546875" style="9" customWidth="1"/>
    <col min="6635" max="6635" width="16.28515625" style="9" customWidth="1"/>
    <col min="6636" max="6636" width="10.28515625" style="9" customWidth="1"/>
    <col min="6637" max="6637" width="9.7109375" style="9" customWidth="1"/>
    <col min="6638" max="6638" width="11.42578125" style="9" customWidth="1"/>
    <col min="6639" max="6639" width="10.85546875" style="9" customWidth="1"/>
    <col min="6640" max="6640" width="14.5703125" style="9" customWidth="1"/>
    <col min="6641" max="6641" width="9.28515625" style="9" customWidth="1"/>
    <col min="6642" max="6642" width="11.42578125" style="9" customWidth="1"/>
    <col min="6643" max="6643" width="10.42578125" style="9" customWidth="1"/>
    <col min="6644" max="6645" width="16.28515625" style="9" customWidth="1"/>
    <col min="6646" max="6646" width="14.140625" style="9" customWidth="1"/>
    <col min="6647" max="6647" width="12" style="9" bestFit="1" customWidth="1"/>
    <col min="6648" max="6648" width="17.85546875" style="9" customWidth="1"/>
    <col min="6649" max="6649" width="9.140625" style="9"/>
    <col min="6650" max="6650" width="10.7109375" style="9" bestFit="1" customWidth="1"/>
    <col min="6651" max="6670" width="9.140625" style="9"/>
    <col min="6671" max="6671" width="10.28515625" style="9" bestFit="1" customWidth="1"/>
    <col min="6672" max="6845" width="9.140625" style="9"/>
    <col min="6846" max="6846" width="15.28515625" style="9" bestFit="1" customWidth="1"/>
    <col min="6847" max="6847" width="17.140625" style="9" customWidth="1"/>
    <col min="6848" max="6848" width="28" style="9" customWidth="1"/>
    <col min="6849" max="6849" width="2.7109375" style="9" bestFit="1" customWidth="1"/>
    <col min="6850" max="6850" width="0" style="9" hidden="1" customWidth="1"/>
    <col min="6851" max="6855" width="12.42578125" style="9" customWidth="1"/>
    <col min="6856" max="6856" width="9.5703125" style="9" customWidth="1"/>
    <col min="6857" max="6857" width="12.42578125" style="9" customWidth="1"/>
    <col min="6858" max="6858" width="9.85546875" style="9" customWidth="1"/>
    <col min="6859" max="6859" width="0" style="9" hidden="1" customWidth="1"/>
    <col min="6860" max="6861" width="11.42578125" style="9" customWidth="1"/>
    <col min="6862" max="6862" width="8.7109375" style="9" customWidth="1"/>
    <col min="6863" max="6863" width="0" style="9" hidden="1" customWidth="1"/>
    <col min="6864" max="6865" width="8" style="9" customWidth="1"/>
    <col min="6866" max="6867" width="9.28515625" style="9" customWidth="1"/>
    <col min="6868" max="6868" width="20.7109375" style="9" customWidth="1"/>
    <col min="6869" max="6869" width="18.42578125" style="9" customWidth="1"/>
    <col min="6870" max="6871" width="12.85546875" style="9" customWidth="1"/>
    <col min="6872" max="6872" width="9" style="9" customWidth="1"/>
    <col min="6873" max="6873" width="10.85546875" style="9" bestFit="1" customWidth="1"/>
    <col min="6874" max="6874" width="11.28515625" style="9" customWidth="1"/>
    <col min="6875" max="6875" width="12.5703125" style="9" customWidth="1"/>
    <col min="6876" max="6876" width="12.42578125" style="9" customWidth="1"/>
    <col min="6877" max="6877" width="5" style="9" customWidth="1"/>
    <col min="6878" max="6878" width="16" style="9" customWidth="1"/>
    <col min="6879" max="6879" width="18.85546875" style="9" customWidth="1"/>
    <col min="6880" max="6880" width="16.28515625" style="9" customWidth="1"/>
    <col min="6881" max="6883" width="10.5703125" style="9" customWidth="1"/>
    <col min="6884" max="6885" width="12.42578125" style="9" customWidth="1"/>
    <col min="6886" max="6886" width="9.85546875" style="9" customWidth="1"/>
    <col min="6887" max="6887" width="16.28515625" style="9" customWidth="1"/>
    <col min="6888" max="6888" width="17.85546875" style="9" customWidth="1"/>
    <col min="6889" max="6889" width="16.28515625" style="9" customWidth="1"/>
    <col min="6890" max="6890" width="17.85546875" style="9" customWidth="1"/>
    <col min="6891" max="6891" width="16.28515625" style="9" customWidth="1"/>
    <col min="6892" max="6892" width="10.28515625" style="9" customWidth="1"/>
    <col min="6893" max="6893" width="9.7109375" style="9" customWidth="1"/>
    <col min="6894" max="6894" width="11.42578125" style="9" customWidth="1"/>
    <col min="6895" max="6895" width="10.85546875" style="9" customWidth="1"/>
    <col min="6896" max="6896" width="14.5703125" style="9" customWidth="1"/>
    <col min="6897" max="6897" width="9.28515625" style="9" customWidth="1"/>
    <col min="6898" max="6898" width="11.42578125" style="9" customWidth="1"/>
    <col min="6899" max="6899" width="10.42578125" style="9" customWidth="1"/>
    <col min="6900" max="6901" width="16.28515625" style="9" customWidth="1"/>
    <col min="6902" max="6902" width="14.140625" style="9" customWidth="1"/>
    <col min="6903" max="6903" width="12" style="9" bestFit="1" customWidth="1"/>
    <col min="6904" max="6904" width="17.85546875" style="9" customWidth="1"/>
    <col min="6905" max="6905" width="9.140625" style="9"/>
    <col min="6906" max="6906" width="10.7109375" style="9" bestFit="1" customWidth="1"/>
    <col min="6907" max="6926" width="9.140625" style="9"/>
    <col min="6927" max="6927" width="10.28515625" style="9" bestFit="1" customWidth="1"/>
    <col min="6928" max="7101" width="9.140625" style="9"/>
    <col min="7102" max="7102" width="15.28515625" style="9" bestFit="1" customWidth="1"/>
    <col min="7103" max="7103" width="17.140625" style="9" customWidth="1"/>
    <col min="7104" max="7104" width="28" style="9" customWidth="1"/>
    <col min="7105" max="7105" width="2.7109375" style="9" bestFit="1" customWidth="1"/>
    <col min="7106" max="7106" width="0" style="9" hidden="1" customWidth="1"/>
    <col min="7107" max="7111" width="12.42578125" style="9" customWidth="1"/>
    <col min="7112" max="7112" width="9.5703125" style="9" customWidth="1"/>
    <col min="7113" max="7113" width="12.42578125" style="9" customWidth="1"/>
    <col min="7114" max="7114" width="9.85546875" style="9" customWidth="1"/>
    <col min="7115" max="7115" width="0" style="9" hidden="1" customWidth="1"/>
    <col min="7116" max="7117" width="11.42578125" style="9" customWidth="1"/>
    <col min="7118" max="7118" width="8.7109375" style="9" customWidth="1"/>
    <col min="7119" max="7119" width="0" style="9" hidden="1" customWidth="1"/>
    <col min="7120" max="7121" width="8" style="9" customWidth="1"/>
    <col min="7122" max="7123" width="9.28515625" style="9" customWidth="1"/>
    <col min="7124" max="7124" width="20.7109375" style="9" customWidth="1"/>
    <col min="7125" max="7125" width="18.42578125" style="9" customWidth="1"/>
    <col min="7126" max="7127" width="12.85546875" style="9" customWidth="1"/>
    <col min="7128" max="7128" width="9" style="9" customWidth="1"/>
    <col min="7129" max="7129" width="10.85546875" style="9" bestFit="1" customWidth="1"/>
    <col min="7130" max="7130" width="11.28515625" style="9" customWidth="1"/>
    <col min="7131" max="7131" width="12.5703125" style="9" customWidth="1"/>
    <col min="7132" max="7132" width="12.42578125" style="9" customWidth="1"/>
    <col min="7133" max="7133" width="5" style="9" customWidth="1"/>
    <col min="7134" max="7134" width="16" style="9" customWidth="1"/>
    <col min="7135" max="7135" width="18.85546875" style="9" customWidth="1"/>
    <col min="7136" max="7136" width="16.28515625" style="9" customWidth="1"/>
    <col min="7137" max="7139" width="10.5703125" style="9" customWidth="1"/>
    <col min="7140" max="7141" width="12.42578125" style="9" customWidth="1"/>
    <col min="7142" max="7142" width="9.85546875" style="9" customWidth="1"/>
    <col min="7143" max="7143" width="16.28515625" style="9" customWidth="1"/>
    <col min="7144" max="7144" width="17.85546875" style="9" customWidth="1"/>
    <col min="7145" max="7145" width="16.28515625" style="9" customWidth="1"/>
    <col min="7146" max="7146" width="17.85546875" style="9" customWidth="1"/>
    <col min="7147" max="7147" width="16.28515625" style="9" customWidth="1"/>
    <col min="7148" max="7148" width="10.28515625" style="9" customWidth="1"/>
    <col min="7149" max="7149" width="9.7109375" style="9" customWidth="1"/>
    <col min="7150" max="7150" width="11.42578125" style="9" customWidth="1"/>
    <col min="7151" max="7151" width="10.85546875" style="9" customWidth="1"/>
    <col min="7152" max="7152" width="14.5703125" style="9" customWidth="1"/>
    <col min="7153" max="7153" width="9.28515625" style="9" customWidth="1"/>
    <col min="7154" max="7154" width="11.42578125" style="9" customWidth="1"/>
    <col min="7155" max="7155" width="10.42578125" style="9" customWidth="1"/>
    <col min="7156" max="7157" width="16.28515625" style="9" customWidth="1"/>
    <col min="7158" max="7158" width="14.140625" style="9" customWidth="1"/>
    <col min="7159" max="7159" width="12" style="9" bestFit="1" customWidth="1"/>
    <col min="7160" max="7160" width="17.85546875" style="9" customWidth="1"/>
    <col min="7161" max="7161" width="9.140625" style="9"/>
    <col min="7162" max="7162" width="10.7109375" style="9" bestFit="1" customWidth="1"/>
    <col min="7163" max="7182" width="9.140625" style="9"/>
    <col min="7183" max="7183" width="10.28515625" style="9" bestFit="1" customWidth="1"/>
    <col min="7184" max="7357" width="9.140625" style="9"/>
    <col min="7358" max="7358" width="15.28515625" style="9" bestFit="1" customWidth="1"/>
    <col min="7359" max="7359" width="17.140625" style="9" customWidth="1"/>
    <col min="7360" max="7360" width="28" style="9" customWidth="1"/>
    <col min="7361" max="7361" width="2.7109375" style="9" bestFit="1" customWidth="1"/>
    <col min="7362" max="7362" width="0" style="9" hidden="1" customWidth="1"/>
    <col min="7363" max="7367" width="12.42578125" style="9" customWidth="1"/>
    <col min="7368" max="7368" width="9.5703125" style="9" customWidth="1"/>
    <col min="7369" max="7369" width="12.42578125" style="9" customWidth="1"/>
    <col min="7370" max="7370" width="9.85546875" style="9" customWidth="1"/>
    <col min="7371" max="7371" width="0" style="9" hidden="1" customWidth="1"/>
    <col min="7372" max="7373" width="11.42578125" style="9" customWidth="1"/>
    <col min="7374" max="7374" width="8.7109375" style="9" customWidth="1"/>
    <col min="7375" max="7375" width="0" style="9" hidden="1" customWidth="1"/>
    <col min="7376" max="7377" width="8" style="9" customWidth="1"/>
    <col min="7378" max="7379" width="9.28515625" style="9" customWidth="1"/>
    <col min="7380" max="7380" width="20.7109375" style="9" customWidth="1"/>
    <col min="7381" max="7381" width="18.42578125" style="9" customWidth="1"/>
    <col min="7382" max="7383" width="12.85546875" style="9" customWidth="1"/>
    <col min="7384" max="7384" width="9" style="9" customWidth="1"/>
    <col min="7385" max="7385" width="10.85546875" style="9" bestFit="1" customWidth="1"/>
    <col min="7386" max="7386" width="11.28515625" style="9" customWidth="1"/>
    <col min="7387" max="7387" width="12.5703125" style="9" customWidth="1"/>
    <col min="7388" max="7388" width="12.42578125" style="9" customWidth="1"/>
    <col min="7389" max="7389" width="5" style="9" customWidth="1"/>
    <col min="7390" max="7390" width="16" style="9" customWidth="1"/>
    <col min="7391" max="7391" width="18.85546875" style="9" customWidth="1"/>
    <col min="7392" max="7392" width="16.28515625" style="9" customWidth="1"/>
    <col min="7393" max="7395" width="10.5703125" style="9" customWidth="1"/>
    <col min="7396" max="7397" width="12.42578125" style="9" customWidth="1"/>
    <col min="7398" max="7398" width="9.85546875" style="9" customWidth="1"/>
    <col min="7399" max="7399" width="16.28515625" style="9" customWidth="1"/>
    <col min="7400" max="7400" width="17.85546875" style="9" customWidth="1"/>
    <col min="7401" max="7401" width="16.28515625" style="9" customWidth="1"/>
    <col min="7402" max="7402" width="17.85546875" style="9" customWidth="1"/>
    <col min="7403" max="7403" width="16.28515625" style="9" customWidth="1"/>
    <col min="7404" max="7404" width="10.28515625" style="9" customWidth="1"/>
    <col min="7405" max="7405" width="9.7109375" style="9" customWidth="1"/>
    <col min="7406" max="7406" width="11.42578125" style="9" customWidth="1"/>
    <col min="7407" max="7407" width="10.85546875" style="9" customWidth="1"/>
    <col min="7408" max="7408" width="14.5703125" style="9" customWidth="1"/>
    <col min="7409" max="7409" width="9.28515625" style="9" customWidth="1"/>
    <col min="7410" max="7410" width="11.42578125" style="9" customWidth="1"/>
    <col min="7411" max="7411" width="10.42578125" style="9" customWidth="1"/>
    <col min="7412" max="7413" width="16.28515625" style="9" customWidth="1"/>
    <col min="7414" max="7414" width="14.140625" style="9" customWidth="1"/>
    <col min="7415" max="7415" width="12" style="9" bestFit="1" customWidth="1"/>
    <col min="7416" max="7416" width="17.85546875" style="9" customWidth="1"/>
    <col min="7417" max="7417" width="9.140625" style="9"/>
    <col min="7418" max="7418" width="10.7109375" style="9" bestFit="1" customWidth="1"/>
    <col min="7419" max="7438" width="9.140625" style="9"/>
    <col min="7439" max="7439" width="10.28515625" style="9" bestFit="1" customWidth="1"/>
    <col min="7440" max="7613" width="9.140625" style="9"/>
    <col min="7614" max="7614" width="15.28515625" style="9" bestFit="1" customWidth="1"/>
    <col min="7615" max="7615" width="17.140625" style="9" customWidth="1"/>
    <col min="7616" max="7616" width="28" style="9" customWidth="1"/>
    <col min="7617" max="7617" width="2.7109375" style="9" bestFit="1" customWidth="1"/>
    <col min="7618" max="7618" width="0" style="9" hidden="1" customWidth="1"/>
    <col min="7619" max="7623" width="12.42578125" style="9" customWidth="1"/>
    <col min="7624" max="7624" width="9.5703125" style="9" customWidth="1"/>
    <col min="7625" max="7625" width="12.42578125" style="9" customWidth="1"/>
    <col min="7626" max="7626" width="9.85546875" style="9" customWidth="1"/>
    <col min="7627" max="7627" width="0" style="9" hidden="1" customWidth="1"/>
    <col min="7628" max="7629" width="11.42578125" style="9" customWidth="1"/>
    <col min="7630" max="7630" width="8.7109375" style="9" customWidth="1"/>
    <col min="7631" max="7631" width="0" style="9" hidden="1" customWidth="1"/>
    <col min="7632" max="7633" width="8" style="9" customWidth="1"/>
    <col min="7634" max="7635" width="9.28515625" style="9" customWidth="1"/>
    <col min="7636" max="7636" width="20.7109375" style="9" customWidth="1"/>
    <col min="7637" max="7637" width="18.42578125" style="9" customWidth="1"/>
    <col min="7638" max="7639" width="12.85546875" style="9" customWidth="1"/>
    <col min="7640" max="7640" width="9" style="9" customWidth="1"/>
    <col min="7641" max="7641" width="10.85546875" style="9" bestFit="1" customWidth="1"/>
    <col min="7642" max="7642" width="11.28515625" style="9" customWidth="1"/>
    <col min="7643" max="7643" width="12.5703125" style="9" customWidth="1"/>
    <col min="7644" max="7644" width="12.42578125" style="9" customWidth="1"/>
    <col min="7645" max="7645" width="5" style="9" customWidth="1"/>
    <col min="7646" max="7646" width="16" style="9" customWidth="1"/>
    <col min="7647" max="7647" width="18.85546875" style="9" customWidth="1"/>
    <col min="7648" max="7648" width="16.28515625" style="9" customWidth="1"/>
    <col min="7649" max="7651" width="10.5703125" style="9" customWidth="1"/>
    <col min="7652" max="7653" width="12.42578125" style="9" customWidth="1"/>
    <col min="7654" max="7654" width="9.85546875" style="9" customWidth="1"/>
    <col min="7655" max="7655" width="16.28515625" style="9" customWidth="1"/>
    <col min="7656" max="7656" width="17.85546875" style="9" customWidth="1"/>
    <col min="7657" max="7657" width="16.28515625" style="9" customWidth="1"/>
    <col min="7658" max="7658" width="17.85546875" style="9" customWidth="1"/>
    <col min="7659" max="7659" width="16.28515625" style="9" customWidth="1"/>
    <col min="7660" max="7660" width="10.28515625" style="9" customWidth="1"/>
    <col min="7661" max="7661" width="9.7109375" style="9" customWidth="1"/>
    <col min="7662" max="7662" width="11.42578125" style="9" customWidth="1"/>
    <col min="7663" max="7663" width="10.85546875" style="9" customWidth="1"/>
    <col min="7664" max="7664" width="14.5703125" style="9" customWidth="1"/>
    <col min="7665" max="7665" width="9.28515625" style="9" customWidth="1"/>
    <col min="7666" max="7666" width="11.42578125" style="9" customWidth="1"/>
    <col min="7667" max="7667" width="10.42578125" style="9" customWidth="1"/>
    <col min="7668" max="7669" width="16.28515625" style="9" customWidth="1"/>
    <col min="7670" max="7670" width="14.140625" style="9" customWidth="1"/>
    <col min="7671" max="7671" width="12" style="9" bestFit="1" customWidth="1"/>
    <col min="7672" max="7672" width="17.85546875" style="9" customWidth="1"/>
    <col min="7673" max="7673" width="9.140625" style="9"/>
    <col min="7674" max="7674" width="10.7109375" style="9" bestFit="1" customWidth="1"/>
    <col min="7675" max="7694" width="9.140625" style="9"/>
    <col min="7695" max="7695" width="10.28515625" style="9" bestFit="1" customWidth="1"/>
    <col min="7696" max="7869" width="9.140625" style="9"/>
    <col min="7870" max="7870" width="15.28515625" style="9" bestFit="1" customWidth="1"/>
    <col min="7871" max="7871" width="17.140625" style="9" customWidth="1"/>
    <col min="7872" max="7872" width="28" style="9" customWidth="1"/>
    <col min="7873" max="7873" width="2.7109375" style="9" bestFit="1" customWidth="1"/>
    <col min="7874" max="7874" width="0" style="9" hidden="1" customWidth="1"/>
    <col min="7875" max="7879" width="12.42578125" style="9" customWidth="1"/>
    <col min="7880" max="7880" width="9.5703125" style="9" customWidth="1"/>
    <col min="7881" max="7881" width="12.42578125" style="9" customWidth="1"/>
    <col min="7882" max="7882" width="9.85546875" style="9" customWidth="1"/>
    <col min="7883" max="7883" width="0" style="9" hidden="1" customWidth="1"/>
    <col min="7884" max="7885" width="11.42578125" style="9" customWidth="1"/>
    <col min="7886" max="7886" width="8.7109375" style="9" customWidth="1"/>
    <col min="7887" max="7887" width="0" style="9" hidden="1" customWidth="1"/>
    <col min="7888" max="7889" width="8" style="9" customWidth="1"/>
    <col min="7890" max="7891" width="9.28515625" style="9" customWidth="1"/>
    <col min="7892" max="7892" width="20.7109375" style="9" customWidth="1"/>
    <col min="7893" max="7893" width="18.42578125" style="9" customWidth="1"/>
    <col min="7894" max="7895" width="12.85546875" style="9" customWidth="1"/>
    <col min="7896" max="7896" width="9" style="9" customWidth="1"/>
    <col min="7897" max="7897" width="10.85546875" style="9" bestFit="1" customWidth="1"/>
    <col min="7898" max="7898" width="11.28515625" style="9" customWidth="1"/>
    <col min="7899" max="7899" width="12.5703125" style="9" customWidth="1"/>
    <col min="7900" max="7900" width="12.42578125" style="9" customWidth="1"/>
    <col min="7901" max="7901" width="5" style="9" customWidth="1"/>
    <col min="7902" max="7902" width="16" style="9" customWidth="1"/>
    <col min="7903" max="7903" width="18.85546875" style="9" customWidth="1"/>
    <col min="7904" max="7904" width="16.28515625" style="9" customWidth="1"/>
    <col min="7905" max="7907" width="10.5703125" style="9" customWidth="1"/>
    <col min="7908" max="7909" width="12.42578125" style="9" customWidth="1"/>
    <col min="7910" max="7910" width="9.85546875" style="9" customWidth="1"/>
    <col min="7911" max="7911" width="16.28515625" style="9" customWidth="1"/>
    <col min="7912" max="7912" width="17.85546875" style="9" customWidth="1"/>
    <col min="7913" max="7913" width="16.28515625" style="9" customWidth="1"/>
    <col min="7914" max="7914" width="17.85546875" style="9" customWidth="1"/>
    <col min="7915" max="7915" width="16.28515625" style="9" customWidth="1"/>
    <col min="7916" max="7916" width="10.28515625" style="9" customWidth="1"/>
    <col min="7917" max="7917" width="9.7109375" style="9" customWidth="1"/>
    <col min="7918" max="7918" width="11.42578125" style="9" customWidth="1"/>
    <col min="7919" max="7919" width="10.85546875" style="9" customWidth="1"/>
    <col min="7920" max="7920" width="14.5703125" style="9" customWidth="1"/>
    <col min="7921" max="7921" width="9.28515625" style="9" customWidth="1"/>
    <col min="7922" max="7922" width="11.42578125" style="9" customWidth="1"/>
    <col min="7923" max="7923" width="10.42578125" style="9" customWidth="1"/>
    <col min="7924" max="7925" width="16.28515625" style="9" customWidth="1"/>
    <col min="7926" max="7926" width="14.140625" style="9" customWidth="1"/>
    <col min="7927" max="7927" width="12" style="9" bestFit="1" customWidth="1"/>
    <col min="7928" max="7928" width="17.85546875" style="9" customWidth="1"/>
    <col min="7929" max="7929" width="9.140625" style="9"/>
    <col min="7930" max="7930" width="10.7109375" style="9" bestFit="1" customWidth="1"/>
    <col min="7931" max="7950" width="9.140625" style="9"/>
    <col min="7951" max="7951" width="10.28515625" style="9" bestFit="1" customWidth="1"/>
    <col min="7952" max="8125" width="9.140625" style="9"/>
    <col min="8126" max="8126" width="15.28515625" style="9" bestFit="1" customWidth="1"/>
    <col min="8127" max="8127" width="17.140625" style="9" customWidth="1"/>
    <col min="8128" max="8128" width="28" style="9" customWidth="1"/>
    <col min="8129" max="8129" width="2.7109375" style="9" bestFit="1" customWidth="1"/>
    <col min="8130" max="8130" width="0" style="9" hidden="1" customWidth="1"/>
    <col min="8131" max="8135" width="12.42578125" style="9" customWidth="1"/>
    <col min="8136" max="8136" width="9.5703125" style="9" customWidth="1"/>
    <col min="8137" max="8137" width="12.42578125" style="9" customWidth="1"/>
    <col min="8138" max="8138" width="9.85546875" style="9" customWidth="1"/>
    <col min="8139" max="8139" width="0" style="9" hidden="1" customWidth="1"/>
    <col min="8140" max="8141" width="11.42578125" style="9" customWidth="1"/>
    <col min="8142" max="8142" width="8.7109375" style="9" customWidth="1"/>
    <col min="8143" max="8143" width="0" style="9" hidden="1" customWidth="1"/>
    <col min="8144" max="8145" width="8" style="9" customWidth="1"/>
    <col min="8146" max="8147" width="9.28515625" style="9" customWidth="1"/>
    <col min="8148" max="8148" width="20.7109375" style="9" customWidth="1"/>
    <col min="8149" max="8149" width="18.42578125" style="9" customWidth="1"/>
    <col min="8150" max="8151" width="12.85546875" style="9" customWidth="1"/>
    <col min="8152" max="8152" width="9" style="9" customWidth="1"/>
    <col min="8153" max="8153" width="10.85546875" style="9" bestFit="1" customWidth="1"/>
    <col min="8154" max="8154" width="11.28515625" style="9" customWidth="1"/>
    <col min="8155" max="8155" width="12.5703125" style="9" customWidth="1"/>
    <col min="8156" max="8156" width="12.42578125" style="9" customWidth="1"/>
    <col min="8157" max="8157" width="5" style="9" customWidth="1"/>
    <col min="8158" max="8158" width="16" style="9" customWidth="1"/>
    <col min="8159" max="8159" width="18.85546875" style="9" customWidth="1"/>
    <col min="8160" max="8160" width="16.28515625" style="9" customWidth="1"/>
    <col min="8161" max="8163" width="10.5703125" style="9" customWidth="1"/>
    <col min="8164" max="8165" width="12.42578125" style="9" customWidth="1"/>
    <col min="8166" max="8166" width="9.85546875" style="9" customWidth="1"/>
    <col min="8167" max="8167" width="16.28515625" style="9" customWidth="1"/>
    <col min="8168" max="8168" width="17.85546875" style="9" customWidth="1"/>
    <col min="8169" max="8169" width="16.28515625" style="9" customWidth="1"/>
    <col min="8170" max="8170" width="17.85546875" style="9" customWidth="1"/>
    <col min="8171" max="8171" width="16.28515625" style="9" customWidth="1"/>
    <col min="8172" max="8172" width="10.28515625" style="9" customWidth="1"/>
    <col min="8173" max="8173" width="9.7109375" style="9" customWidth="1"/>
    <col min="8174" max="8174" width="11.42578125" style="9" customWidth="1"/>
    <col min="8175" max="8175" width="10.85546875" style="9" customWidth="1"/>
    <col min="8176" max="8176" width="14.5703125" style="9" customWidth="1"/>
    <col min="8177" max="8177" width="9.28515625" style="9" customWidth="1"/>
    <col min="8178" max="8178" width="11.42578125" style="9" customWidth="1"/>
    <col min="8179" max="8179" width="10.42578125" style="9" customWidth="1"/>
    <col min="8180" max="8181" width="16.28515625" style="9" customWidth="1"/>
    <col min="8182" max="8182" width="14.140625" style="9" customWidth="1"/>
    <col min="8183" max="8183" width="12" style="9" bestFit="1" customWidth="1"/>
    <col min="8184" max="8184" width="17.85546875" style="9" customWidth="1"/>
    <col min="8185" max="8185" width="9.140625" style="9"/>
    <col min="8186" max="8186" width="10.7109375" style="9" bestFit="1" customWidth="1"/>
    <col min="8187" max="8206" width="9.140625" style="9"/>
    <col min="8207" max="8207" width="10.28515625" style="9" bestFit="1" customWidth="1"/>
    <col min="8208" max="8381" width="9.140625" style="9"/>
    <col min="8382" max="8382" width="15.28515625" style="9" bestFit="1" customWidth="1"/>
    <col min="8383" max="8383" width="17.140625" style="9" customWidth="1"/>
    <col min="8384" max="8384" width="28" style="9" customWidth="1"/>
    <col min="8385" max="8385" width="2.7109375" style="9" bestFit="1" customWidth="1"/>
    <col min="8386" max="8386" width="0" style="9" hidden="1" customWidth="1"/>
    <col min="8387" max="8391" width="12.42578125" style="9" customWidth="1"/>
    <col min="8392" max="8392" width="9.5703125" style="9" customWidth="1"/>
    <col min="8393" max="8393" width="12.42578125" style="9" customWidth="1"/>
    <col min="8394" max="8394" width="9.85546875" style="9" customWidth="1"/>
    <col min="8395" max="8395" width="0" style="9" hidden="1" customWidth="1"/>
    <col min="8396" max="8397" width="11.42578125" style="9" customWidth="1"/>
    <col min="8398" max="8398" width="8.7109375" style="9" customWidth="1"/>
    <col min="8399" max="8399" width="0" style="9" hidden="1" customWidth="1"/>
    <col min="8400" max="8401" width="8" style="9" customWidth="1"/>
    <col min="8402" max="8403" width="9.28515625" style="9" customWidth="1"/>
    <col min="8404" max="8404" width="20.7109375" style="9" customWidth="1"/>
    <col min="8405" max="8405" width="18.42578125" style="9" customWidth="1"/>
    <col min="8406" max="8407" width="12.85546875" style="9" customWidth="1"/>
    <col min="8408" max="8408" width="9" style="9" customWidth="1"/>
    <col min="8409" max="8409" width="10.85546875" style="9" bestFit="1" customWidth="1"/>
    <col min="8410" max="8410" width="11.28515625" style="9" customWidth="1"/>
    <col min="8411" max="8411" width="12.5703125" style="9" customWidth="1"/>
    <col min="8412" max="8412" width="12.42578125" style="9" customWidth="1"/>
    <col min="8413" max="8413" width="5" style="9" customWidth="1"/>
    <col min="8414" max="8414" width="16" style="9" customWidth="1"/>
    <col min="8415" max="8415" width="18.85546875" style="9" customWidth="1"/>
    <col min="8416" max="8416" width="16.28515625" style="9" customWidth="1"/>
    <col min="8417" max="8419" width="10.5703125" style="9" customWidth="1"/>
    <col min="8420" max="8421" width="12.42578125" style="9" customWidth="1"/>
    <col min="8422" max="8422" width="9.85546875" style="9" customWidth="1"/>
    <col min="8423" max="8423" width="16.28515625" style="9" customWidth="1"/>
    <col min="8424" max="8424" width="17.85546875" style="9" customWidth="1"/>
    <col min="8425" max="8425" width="16.28515625" style="9" customWidth="1"/>
    <col min="8426" max="8426" width="17.85546875" style="9" customWidth="1"/>
    <col min="8427" max="8427" width="16.28515625" style="9" customWidth="1"/>
    <col min="8428" max="8428" width="10.28515625" style="9" customWidth="1"/>
    <col min="8429" max="8429" width="9.7109375" style="9" customWidth="1"/>
    <col min="8430" max="8430" width="11.42578125" style="9" customWidth="1"/>
    <col min="8431" max="8431" width="10.85546875" style="9" customWidth="1"/>
    <col min="8432" max="8432" width="14.5703125" style="9" customWidth="1"/>
    <col min="8433" max="8433" width="9.28515625" style="9" customWidth="1"/>
    <col min="8434" max="8434" width="11.42578125" style="9" customWidth="1"/>
    <col min="8435" max="8435" width="10.42578125" style="9" customWidth="1"/>
    <col min="8436" max="8437" width="16.28515625" style="9" customWidth="1"/>
    <col min="8438" max="8438" width="14.140625" style="9" customWidth="1"/>
    <col min="8439" max="8439" width="12" style="9" bestFit="1" customWidth="1"/>
    <col min="8440" max="8440" width="17.85546875" style="9" customWidth="1"/>
    <col min="8441" max="8441" width="9.140625" style="9"/>
    <col min="8442" max="8442" width="10.7109375" style="9" bestFit="1" customWidth="1"/>
    <col min="8443" max="8462" width="9.140625" style="9"/>
    <col min="8463" max="8463" width="10.28515625" style="9" bestFit="1" customWidth="1"/>
    <col min="8464" max="8637" width="9.140625" style="9"/>
    <col min="8638" max="8638" width="15.28515625" style="9" bestFit="1" customWidth="1"/>
    <col min="8639" max="8639" width="17.140625" style="9" customWidth="1"/>
    <col min="8640" max="8640" width="28" style="9" customWidth="1"/>
    <col min="8641" max="8641" width="2.7109375" style="9" bestFit="1" customWidth="1"/>
    <col min="8642" max="8642" width="0" style="9" hidden="1" customWidth="1"/>
    <col min="8643" max="8647" width="12.42578125" style="9" customWidth="1"/>
    <col min="8648" max="8648" width="9.5703125" style="9" customWidth="1"/>
    <col min="8649" max="8649" width="12.42578125" style="9" customWidth="1"/>
    <col min="8650" max="8650" width="9.85546875" style="9" customWidth="1"/>
    <col min="8651" max="8651" width="0" style="9" hidden="1" customWidth="1"/>
    <col min="8652" max="8653" width="11.42578125" style="9" customWidth="1"/>
    <col min="8654" max="8654" width="8.7109375" style="9" customWidth="1"/>
    <col min="8655" max="8655" width="0" style="9" hidden="1" customWidth="1"/>
    <col min="8656" max="8657" width="8" style="9" customWidth="1"/>
    <col min="8658" max="8659" width="9.28515625" style="9" customWidth="1"/>
    <col min="8660" max="8660" width="20.7109375" style="9" customWidth="1"/>
    <col min="8661" max="8661" width="18.42578125" style="9" customWidth="1"/>
    <col min="8662" max="8663" width="12.85546875" style="9" customWidth="1"/>
    <col min="8664" max="8664" width="9" style="9" customWidth="1"/>
    <col min="8665" max="8665" width="10.85546875" style="9" bestFit="1" customWidth="1"/>
    <col min="8666" max="8666" width="11.28515625" style="9" customWidth="1"/>
    <col min="8667" max="8667" width="12.5703125" style="9" customWidth="1"/>
    <col min="8668" max="8668" width="12.42578125" style="9" customWidth="1"/>
    <col min="8669" max="8669" width="5" style="9" customWidth="1"/>
    <col min="8670" max="8670" width="16" style="9" customWidth="1"/>
    <col min="8671" max="8671" width="18.85546875" style="9" customWidth="1"/>
    <col min="8672" max="8672" width="16.28515625" style="9" customWidth="1"/>
    <col min="8673" max="8675" width="10.5703125" style="9" customWidth="1"/>
    <col min="8676" max="8677" width="12.42578125" style="9" customWidth="1"/>
    <col min="8678" max="8678" width="9.85546875" style="9" customWidth="1"/>
    <col min="8679" max="8679" width="16.28515625" style="9" customWidth="1"/>
    <col min="8680" max="8680" width="17.85546875" style="9" customWidth="1"/>
    <col min="8681" max="8681" width="16.28515625" style="9" customWidth="1"/>
    <col min="8682" max="8682" width="17.85546875" style="9" customWidth="1"/>
    <col min="8683" max="8683" width="16.28515625" style="9" customWidth="1"/>
    <col min="8684" max="8684" width="10.28515625" style="9" customWidth="1"/>
    <col min="8685" max="8685" width="9.7109375" style="9" customWidth="1"/>
    <col min="8686" max="8686" width="11.42578125" style="9" customWidth="1"/>
    <col min="8687" max="8687" width="10.85546875" style="9" customWidth="1"/>
    <col min="8688" max="8688" width="14.5703125" style="9" customWidth="1"/>
    <col min="8689" max="8689" width="9.28515625" style="9" customWidth="1"/>
    <col min="8690" max="8690" width="11.42578125" style="9" customWidth="1"/>
    <col min="8691" max="8691" width="10.42578125" style="9" customWidth="1"/>
    <col min="8692" max="8693" width="16.28515625" style="9" customWidth="1"/>
    <col min="8694" max="8694" width="14.140625" style="9" customWidth="1"/>
    <col min="8695" max="8695" width="12" style="9" bestFit="1" customWidth="1"/>
    <col min="8696" max="8696" width="17.85546875" style="9" customWidth="1"/>
    <col min="8697" max="8697" width="9.140625" style="9"/>
    <col min="8698" max="8698" width="10.7109375" style="9" bestFit="1" customWidth="1"/>
    <col min="8699" max="8718" width="9.140625" style="9"/>
    <col min="8719" max="8719" width="10.28515625" style="9" bestFit="1" customWidth="1"/>
    <col min="8720" max="8893" width="9.140625" style="9"/>
    <col min="8894" max="8894" width="15.28515625" style="9" bestFit="1" customWidth="1"/>
    <col min="8895" max="8895" width="17.140625" style="9" customWidth="1"/>
    <col min="8896" max="8896" width="28" style="9" customWidth="1"/>
    <col min="8897" max="8897" width="2.7109375" style="9" bestFit="1" customWidth="1"/>
    <col min="8898" max="8898" width="0" style="9" hidden="1" customWidth="1"/>
    <col min="8899" max="8903" width="12.42578125" style="9" customWidth="1"/>
    <col min="8904" max="8904" width="9.5703125" style="9" customWidth="1"/>
    <col min="8905" max="8905" width="12.42578125" style="9" customWidth="1"/>
    <col min="8906" max="8906" width="9.85546875" style="9" customWidth="1"/>
    <col min="8907" max="8907" width="0" style="9" hidden="1" customWidth="1"/>
    <col min="8908" max="8909" width="11.42578125" style="9" customWidth="1"/>
    <col min="8910" max="8910" width="8.7109375" style="9" customWidth="1"/>
    <col min="8911" max="8911" width="0" style="9" hidden="1" customWidth="1"/>
    <col min="8912" max="8913" width="8" style="9" customWidth="1"/>
    <col min="8914" max="8915" width="9.28515625" style="9" customWidth="1"/>
    <col min="8916" max="8916" width="20.7109375" style="9" customWidth="1"/>
    <col min="8917" max="8917" width="18.42578125" style="9" customWidth="1"/>
    <col min="8918" max="8919" width="12.85546875" style="9" customWidth="1"/>
    <col min="8920" max="8920" width="9" style="9" customWidth="1"/>
    <col min="8921" max="8921" width="10.85546875" style="9" bestFit="1" customWidth="1"/>
    <col min="8922" max="8922" width="11.28515625" style="9" customWidth="1"/>
    <col min="8923" max="8923" width="12.5703125" style="9" customWidth="1"/>
    <col min="8924" max="8924" width="12.42578125" style="9" customWidth="1"/>
    <col min="8925" max="8925" width="5" style="9" customWidth="1"/>
    <col min="8926" max="8926" width="16" style="9" customWidth="1"/>
    <col min="8927" max="8927" width="18.85546875" style="9" customWidth="1"/>
    <col min="8928" max="8928" width="16.28515625" style="9" customWidth="1"/>
    <col min="8929" max="8931" width="10.5703125" style="9" customWidth="1"/>
    <col min="8932" max="8933" width="12.42578125" style="9" customWidth="1"/>
    <col min="8934" max="8934" width="9.85546875" style="9" customWidth="1"/>
    <col min="8935" max="8935" width="16.28515625" style="9" customWidth="1"/>
    <col min="8936" max="8936" width="17.85546875" style="9" customWidth="1"/>
    <col min="8937" max="8937" width="16.28515625" style="9" customWidth="1"/>
    <col min="8938" max="8938" width="17.85546875" style="9" customWidth="1"/>
    <col min="8939" max="8939" width="16.28515625" style="9" customWidth="1"/>
    <col min="8940" max="8940" width="10.28515625" style="9" customWidth="1"/>
    <col min="8941" max="8941" width="9.7109375" style="9" customWidth="1"/>
    <col min="8942" max="8942" width="11.42578125" style="9" customWidth="1"/>
    <col min="8943" max="8943" width="10.85546875" style="9" customWidth="1"/>
    <col min="8944" max="8944" width="14.5703125" style="9" customWidth="1"/>
    <col min="8945" max="8945" width="9.28515625" style="9" customWidth="1"/>
    <col min="8946" max="8946" width="11.42578125" style="9" customWidth="1"/>
    <col min="8947" max="8947" width="10.42578125" style="9" customWidth="1"/>
    <col min="8948" max="8949" width="16.28515625" style="9" customWidth="1"/>
    <col min="8950" max="8950" width="14.140625" style="9" customWidth="1"/>
    <col min="8951" max="8951" width="12" style="9" bestFit="1" customWidth="1"/>
    <col min="8952" max="8952" width="17.85546875" style="9" customWidth="1"/>
    <col min="8953" max="8953" width="9.140625" style="9"/>
    <col min="8954" max="8954" width="10.7109375" style="9" bestFit="1" customWidth="1"/>
    <col min="8955" max="8974" width="9.140625" style="9"/>
    <col min="8975" max="8975" width="10.28515625" style="9" bestFit="1" customWidth="1"/>
    <col min="8976" max="9149" width="9.140625" style="9"/>
    <col min="9150" max="9150" width="15.28515625" style="9" bestFit="1" customWidth="1"/>
    <col min="9151" max="9151" width="17.140625" style="9" customWidth="1"/>
    <col min="9152" max="9152" width="28" style="9" customWidth="1"/>
    <col min="9153" max="9153" width="2.7109375" style="9" bestFit="1" customWidth="1"/>
    <col min="9154" max="9154" width="0" style="9" hidden="1" customWidth="1"/>
    <col min="9155" max="9159" width="12.42578125" style="9" customWidth="1"/>
    <col min="9160" max="9160" width="9.5703125" style="9" customWidth="1"/>
    <col min="9161" max="9161" width="12.42578125" style="9" customWidth="1"/>
    <col min="9162" max="9162" width="9.85546875" style="9" customWidth="1"/>
    <col min="9163" max="9163" width="0" style="9" hidden="1" customWidth="1"/>
    <col min="9164" max="9165" width="11.42578125" style="9" customWidth="1"/>
    <col min="9166" max="9166" width="8.7109375" style="9" customWidth="1"/>
    <col min="9167" max="9167" width="0" style="9" hidden="1" customWidth="1"/>
    <col min="9168" max="9169" width="8" style="9" customWidth="1"/>
    <col min="9170" max="9171" width="9.28515625" style="9" customWidth="1"/>
    <col min="9172" max="9172" width="20.7109375" style="9" customWidth="1"/>
    <col min="9173" max="9173" width="18.42578125" style="9" customWidth="1"/>
    <col min="9174" max="9175" width="12.85546875" style="9" customWidth="1"/>
    <col min="9176" max="9176" width="9" style="9" customWidth="1"/>
    <col min="9177" max="9177" width="10.85546875" style="9" bestFit="1" customWidth="1"/>
    <col min="9178" max="9178" width="11.28515625" style="9" customWidth="1"/>
    <col min="9179" max="9179" width="12.5703125" style="9" customWidth="1"/>
    <col min="9180" max="9180" width="12.42578125" style="9" customWidth="1"/>
    <col min="9181" max="9181" width="5" style="9" customWidth="1"/>
    <col min="9182" max="9182" width="16" style="9" customWidth="1"/>
    <col min="9183" max="9183" width="18.85546875" style="9" customWidth="1"/>
    <col min="9184" max="9184" width="16.28515625" style="9" customWidth="1"/>
    <col min="9185" max="9187" width="10.5703125" style="9" customWidth="1"/>
    <col min="9188" max="9189" width="12.42578125" style="9" customWidth="1"/>
    <col min="9190" max="9190" width="9.85546875" style="9" customWidth="1"/>
    <col min="9191" max="9191" width="16.28515625" style="9" customWidth="1"/>
    <col min="9192" max="9192" width="17.85546875" style="9" customWidth="1"/>
    <col min="9193" max="9193" width="16.28515625" style="9" customWidth="1"/>
    <col min="9194" max="9194" width="17.85546875" style="9" customWidth="1"/>
    <col min="9195" max="9195" width="16.28515625" style="9" customWidth="1"/>
    <col min="9196" max="9196" width="10.28515625" style="9" customWidth="1"/>
    <col min="9197" max="9197" width="9.7109375" style="9" customWidth="1"/>
    <col min="9198" max="9198" width="11.42578125" style="9" customWidth="1"/>
    <col min="9199" max="9199" width="10.85546875" style="9" customWidth="1"/>
    <col min="9200" max="9200" width="14.5703125" style="9" customWidth="1"/>
    <col min="9201" max="9201" width="9.28515625" style="9" customWidth="1"/>
    <col min="9202" max="9202" width="11.42578125" style="9" customWidth="1"/>
    <col min="9203" max="9203" width="10.42578125" style="9" customWidth="1"/>
    <col min="9204" max="9205" width="16.28515625" style="9" customWidth="1"/>
    <col min="9206" max="9206" width="14.140625" style="9" customWidth="1"/>
    <col min="9207" max="9207" width="12" style="9" bestFit="1" customWidth="1"/>
    <col min="9208" max="9208" width="17.85546875" style="9" customWidth="1"/>
    <col min="9209" max="9209" width="9.140625" style="9"/>
    <col min="9210" max="9210" width="10.7109375" style="9" bestFit="1" customWidth="1"/>
    <col min="9211" max="9230" width="9.140625" style="9"/>
    <col min="9231" max="9231" width="10.28515625" style="9" bestFit="1" customWidth="1"/>
    <col min="9232" max="9405" width="9.140625" style="9"/>
    <col min="9406" max="9406" width="15.28515625" style="9" bestFit="1" customWidth="1"/>
    <col min="9407" max="9407" width="17.140625" style="9" customWidth="1"/>
    <col min="9408" max="9408" width="28" style="9" customWidth="1"/>
    <col min="9409" max="9409" width="2.7109375" style="9" bestFit="1" customWidth="1"/>
    <col min="9410" max="9410" width="0" style="9" hidden="1" customWidth="1"/>
    <col min="9411" max="9415" width="12.42578125" style="9" customWidth="1"/>
    <col min="9416" max="9416" width="9.5703125" style="9" customWidth="1"/>
    <col min="9417" max="9417" width="12.42578125" style="9" customWidth="1"/>
    <col min="9418" max="9418" width="9.85546875" style="9" customWidth="1"/>
    <col min="9419" max="9419" width="0" style="9" hidden="1" customWidth="1"/>
    <col min="9420" max="9421" width="11.42578125" style="9" customWidth="1"/>
    <col min="9422" max="9422" width="8.7109375" style="9" customWidth="1"/>
    <col min="9423" max="9423" width="0" style="9" hidden="1" customWidth="1"/>
    <col min="9424" max="9425" width="8" style="9" customWidth="1"/>
    <col min="9426" max="9427" width="9.28515625" style="9" customWidth="1"/>
    <col min="9428" max="9428" width="20.7109375" style="9" customWidth="1"/>
    <col min="9429" max="9429" width="18.42578125" style="9" customWidth="1"/>
    <col min="9430" max="9431" width="12.85546875" style="9" customWidth="1"/>
    <col min="9432" max="9432" width="9" style="9" customWidth="1"/>
    <col min="9433" max="9433" width="10.85546875" style="9" bestFit="1" customWidth="1"/>
    <col min="9434" max="9434" width="11.28515625" style="9" customWidth="1"/>
    <col min="9435" max="9435" width="12.5703125" style="9" customWidth="1"/>
    <col min="9436" max="9436" width="12.42578125" style="9" customWidth="1"/>
    <col min="9437" max="9437" width="5" style="9" customWidth="1"/>
    <col min="9438" max="9438" width="16" style="9" customWidth="1"/>
    <col min="9439" max="9439" width="18.85546875" style="9" customWidth="1"/>
    <col min="9440" max="9440" width="16.28515625" style="9" customWidth="1"/>
    <col min="9441" max="9443" width="10.5703125" style="9" customWidth="1"/>
    <col min="9444" max="9445" width="12.42578125" style="9" customWidth="1"/>
    <col min="9446" max="9446" width="9.85546875" style="9" customWidth="1"/>
    <col min="9447" max="9447" width="16.28515625" style="9" customWidth="1"/>
    <col min="9448" max="9448" width="17.85546875" style="9" customWidth="1"/>
    <col min="9449" max="9449" width="16.28515625" style="9" customWidth="1"/>
    <col min="9450" max="9450" width="17.85546875" style="9" customWidth="1"/>
    <col min="9451" max="9451" width="16.28515625" style="9" customWidth="1"/>
    <col min="9452" max="9452" width="10.28515625" style="9" customWidth="1"/>
    <col min="9453" max="9453" width="9.7109375" style="9" customWidth="1"/>
    <col min="9454" max="9454" width="11.42578125" style="9" customWidth="1"/>
    <col min="9455" max="9455" width="10.85546875" style="9" customWidth="1"/>
    <col min="9456" max="9456" width="14.5703125" style="9" customWidth="1"/>
    <col min="9457" max="9457" width="9.28515625" style="9" customWidth="1"/>
    <col min="9458" max="9458" width="11.42578125" style="9" customWidth="1"/>
    <col min="9459" max="9459" width="10.42578125" style="9" customWidth="1"/>
    <col min="9460" max="9461" width="16.28515625" style="9" customWidth="1"/>
    <col min="9462" max="9462" width="14.140625" style="9" customWidth="1"/>
    <col min="9463" max="9463" width="12" style="9" bestFit="1" customWidth="1"/>
    <col min="9464" max="9464" width="17.85546875" style="9" customWidth="1"/>
    <col min="9465" max="9465" width="9.140625" style="9"/>
    <col min="9466" max="9466" width="10.7109375" style="9" bestFit="1" customWidth="1"/>
    <col min="9467" max="9486" width="9.140625" style="9"/>
    <col min="9487" max="9487" width="10.28515625" style="9" bestFit="1" customWidth="1"/>
    <col min="9488" max="9661" width="9.140625" style="9"/>
    <col min="9662" max="9662" width="15.28515625" style="9" bestFit="1" customWidth="1"/>
    <col min="9663" max="9663" width="17.140625" style="9" customWidth="1"/>
    <col min="9664" max="9664" width="28" style="9" customWidth="1"/>
    <col min="9665" max="9665" width="2.7109375" style="9" bestFit="1" customWidth="1"/>
    <col min="9666" max="9666" width="0" style="9" hidden="1" customWidth="1"/>
    <col min="9667" max="9671" width="12.42578125" style="9" customWidth="1"/>
    <col min="9672" max="9672" width="9.5703125" style="9" customWidth="1"/>
    <col min="9673" max="9673" width="12.42578125" style="9" customWidth="1"/>
    <col min="9674" max="9674" width="9.85546875" style="9" customWidth="1"/>
    <col min="9675" max="9675" width="0" style="9" hidden="1" customWidth="1"/>
    <col min="9676" max="9677" width="11.42578125" style="9" customWidth="1"/>
    <col min="9678" max="9678" width="8.7109375" style="9" customWidth="1"/>
    <col min="9679" max="9679" width="0" style="9" hidden="1" customWidth="1"/>
    <col min="9680" max="9681" width="8" style="9" customWidth="1"/>
    <col min="9682" max="9683" width="9.28515625" style="9" customWidth="1"/>
    <col min="9684" max="9684" width="20.7109375" style="9" customWidth="1"/>
    <col min="9685" max="9685" width="18.42578125" style="9" customWidth="1"/>
    <col min="9686" max="9687" width="12.85546875" style="9" customWidth="1"/>
    <col min="9688" max="9688" width="9" style="9" customWidth="1"/>
    <col min="9689" max="9689" width="10.85546875" style="9" bestFit="1" customWidth="1"/>
    <col min="9690" max="9690" width="11.28515625" style="9" customWidth="1"/>
    <col min="9691" max="9691" width="12.5703125" style="9" customWidth="1"/>
    <col min="9692" max="9692" width="12.42578125" style="9" customWidth="1"/>
    <col min="9693" max="9693" width="5" style="9" customWidth="1"/>
    <col min="9694" max="9694" width="16" style="9" customWidth="1"/>
    <col min="9695" max="9695" width="18.85546875" style="9" customWidth="1"/>
    <col min="9696" max="9696" width="16.28515625" style="9" customWidth="1"/>
    <col min="9697" max="9699" width="10.5703125" style="9" customWidth="1"/>
    <col min="9700" max="9701" width="12.42578125" style="9" customWidth="1"/>
    <col min="9702" max="9702" width="9.85546875" style="9" customWidth="1"/>
    <col min="9703" max="9703" width="16.28515625" style="9" customWidth="1"/>
    <col min="9704" max="9704" width="17.85546875" style="9" customWidth="1"/>
    <col min="9705" max="9705" width="16.28515625" style="9" customWidth="1"/>
    <col min="9706" max="9706" width="17.85546875" style="9" customWidth="1"/>
    <col min="9707" max="9707" width="16.28515625" style="9" customWidth="1"/>
    <col min="9708" max="9708" width="10.28515625" style="9" customWidth="1"/>
    <col min="9709" max="9709" width="9.7109375" style="9" customWidth="1"/>
    <col min="9710" max="9710" width="11.42578125" style="9" customWidth="1"/>
    <col min="9711" max="9711" width="10.85546875" style="9" customWidth="1"/>
    <col min="9712" max="9712" width="14.5703125" style="9" customWidth="1"/>
    <col min="9713" max="9713" width="9.28515625" style="9" customWidth="1"/>
    <col min="9714" max="9714" width="11.42578125" style="9" customWidth="1"/>
    <col min="9715" max="9715" width="10.42578125" style="9" customWidth="1"/>
    <col min="9716" max="9717" width="16.28515625" style="9" customWidth="1"/>
    <col min="9718" max="9718" width="14.140625" style="9" customWidth="1"/>
    <col min="9719" max="9719" width="12" style="9" bestFit="1" customWidth="1"/>
    <col min="9720" max="9720" width="17.85546875" style="9" customWidth="1"/>
    <col min="9721" max="9721" width="9.140625" style="9"/>
    <col min="9722" max="9722" width="10.7109375" style="9" bestFit="1" customWidth="1"/>
    <col min="9723" max="9742" width="9.140625" style="9"/>
    <col min="9743" max="9743" width="10.28515625" style="9" bestFit="1" customWidth="1"/>
    <col min="9744" max="9917" width="9.140625" style="9"/>
    <col min="9918" max="9918" width="15.28515625" style="9" bestFit="1" customWidth="1"/>
    <col min="9919" max="9919" width="17.140625" style="9" customWidth="1"/>
    <col min="9920" max="9920" width="28" style="9" customWidth="1"/>
    <col min="9921" max="9921" width="2.7109375" style="9" bestFit="1" customWidth="1"/>
    <col min="9922" max="9922" width="0" style="9" hidden="1" customWidth="1"/>
    <col min="9923" max="9927" width="12.42578125" style="9" customWidth="1"/>
    <col min="9928" max="9928" width="9.5703125" style="9" customWidth="1"/>
    <col min="9929" max="9929" width="12.42578125" style="9" customWidth="1"/>
    <col min="9930" max="9930" width="9.85546875" style="9" customWidth="1"/>
    <col min="9931" max="9931" width="0" style="9" hidden="1" customWidth="1"/>
    <col min="9932" max="9933" width="11.42578125" style="9" customWidth="1"/>
    <col min="9934" max="9934" width="8.7109375" style="9" customWidth="1"/>
    <col min="9935" max="9935" width="0" style="9" hidden="1" customWidth="1"/>
    <col min="9936" max="9937" width="8" style="9" customWidth="1"/>
    <col min="9938" max="9939" width="9.28515625" style="9" customWidth="1"/>
    <col min="9940" max="9940" width="20.7109375" style="9" customWidth="1"/>
    <col min="9941" max="9941" width="18.42578125" style="9" customWidth="1"/>
    <col min="9942" max="9943" width="12.85546875" style="9" customWidth="1"/>
    <col min="9944" max="9944" width="9" style="9" customWidth="1"/>
    <col min="9945" max="9945" width="10.85546875" style="9" bestFit="1" customWidth="1"/>
    <col min="9946" max="9946" width="11.28515625" style="9" customWidth="1"/>
    <col min="9947" max="9947" width="12.5703125" style="9" customWidth="1"/>
    <col min="9948" max="9948" width="12.42578125" style="9" customWidth="1"/>
    <col min="9949" max="9949" width="5" style="9" customWidth="1"/>
    <col min="9950" max="9950" width="16" style="9" customWidth="1"/>
    <col min="9951" max="9951" width="18.85546875" style="9" customWidth="1"/>
    <col min="9952" max="9952" width="16.28515625" style="9" customWidth="1"/>
    <col min="9953" max="9955" width="10.5703125" style="9" customWidth="1"/>
    <col min="9956" max="9957" width="12.42578125" style="9" customWidth="1"/>
    <col min="9958" max="9958" width="9.85546875" style="9" customWidth="1"/>
    <col min="9959" max="9959" width="16.28515625" style="9" customWidth="1"/>
    <col min="9960" max="9960" width="17.85546875" style="9" customWidth="1"/>
    <col min="9961" max="9961" width="16.28515625" style="9" customWidth="1"/>
    <col min="9962" max="9962" width="17.85546875" style="9" customWidth="1"/>
    <col min="9963" max="9963" width="16.28515625" style="9" customWidth="1"/>
    <col min="9964" max="9964" width="10.28515625" style="9" customWidth="1"/>
    <col min="9965" max="9965" width="9.7109375" style="9" customWidth="1"/>
    <col min="9966" max="9966" width="11.42578125" style="9" customWidth="1"/>
    <col min="9967" max="9967" width="10.85546875" style="9" customWidth="1"/>
    <col min="9968" max="9968" width="14.5703125" style="9" customWidth="1"/>
    <col min="9969" max="9969" width="9.28515625" style="9" customWidth="1"/>
    <col min="9970" max="9970" width="11.42578125" style="9" customWidth="1"/>
    <col min="9971" max="9971" width="10.42578125" style="9" customWidth="1"/>
    <col min="9972" max="9973" width="16.28515625" style="9" customWidth="1"/>
    <col min="9974" max="9974" width="14.140625" style="9" customWidth="1"/>
    <col min="9975" max="9975" width="12" style="9" bestFit="1" customWidth="1"/>
    <col min="9976" max="9976" width="17.85546875" style="9" customWidth="1"/>
    <col min="9977" max="9977" width="9.140625" style="9"/>
    <col min="9978" max="9978" width="10.7109375" style="9" bestFit="1" customWidth="1"/>
    <col min="9979" max="9998" width="9.140625" style="9"/>
    <col min="9999" max="9999" width="10.28515625" style="9" bestFit="1" customWidth="1"/>
    <col min="10000" max="10173" width="9.140625" style="9"/>
    <col min="10174" max="10174" width="15.28515625" style="9" bestFit="1" customWidth="1"/>
    <col min="10175" max="10175" width="17.140625" style="9" customWidth="1"/>
    <col min="10176" max="10176" width="28" style="9" customWidth="1"/>
    <col min="10177" max="10177" width="2.7109375" style="9" bestFit="1" customWidth="1"/>
    <col min="10178" max="10178" width="0" style="9" hidden="1" customWidth="1"/>
    <col min="10179" max="10183" width="12.42578125" style="9" customWidth="1"/>
    <col min="10184" max="10184" width="9.5703125" style="9" customWidth="1"/>
    <col min="10185" max="10185" width="12.42578125" style="9" customWidth="1"/>
    <col min="10186" max="10186" width="9.85546875" style="9" customWidth="1"/>
    <col min="10187" max="10187" width="0" style="9" hidden="1" customWidth="1"/>
    <col min="10188" max="10189" width="11.42578125" style="9" customWidth="1"/>
    <col min="10190" max="10190" width="8.7109375" style="9" customWidth="1"/>
    <col min="10191" max="10191" width="0" style="9" hidden="1" customWidth="1"/>
    <col min="10192" max="10193" width="8" style="9" customWidth="1"/>
    <col min="10194" max="10195" width="9.28515625" style="9" customWidth="1"/>
    <col min="10196" max="10196" width="20.7109375" style="9" customWidth="1"/>
    <col min="10197" max="10197" width="18.42578125" style="9" customWidth="1"/>
    <col min="10198" max="10199" width="12.85546875" style="9" customWidth="1"/>
    <col min="10200" max="10200" width="9" style="9" customWidth="1"/>
    <col min="10201" max="10201" width="10.85546875" style="9" bestFit="1" customWidth="1"/>
    <col min="10202" max="10202" width="11.28515625" style="9" customWidth="1"/>
    <col min="10203" max="10203" width="12.5703125" style="9" customWidth="1"/>
    <col min="10204" max="10204" width="12.42578125" style="9" customWidth="1"/>
    <col min="10205" max="10205" width="5" style="9" customWidth="1"/>
    <col min="10206" max="10206" width="16" style="9" customWidth="1"/>
    <col min="10207" max="10207" width="18.85546875" style="9" customWidth="1"/>
    <col min="10208" max="10208" width="16.28515625" style="9" customWidth="1"/>
    <col min="10209" max="10211" width="10.5703125" style="9" customWidth="1"/>
    <col min="10212" max="10213" width="12.42578125" style="9" customWidth="1"/>
    <col min="10214" max="10214" width="9.85546875" style="9" customWidth="1"/>
    <col min="10215" max="10215" width="16.28515625" style="9" customWidth="1"/>
    <col min="10216" max="10216" width="17.85546875" style="9" customWidth="1"/>
    <col min="10217" max="10217" width="16.28515625" style="9" customWidth="1"/>
    <col min="10218" max="10218" width="17.85546875" style="9" customWidth="1"/>
    <col min="10219" max="10219" width="16.28515625" style="9" customWidth="1"/>
    <col min="10220" max="10220" width="10.28515625" style="9" customWidth="1"/>
    <col min="10221" max="10221" width="9.7109375" style="9" customWidth="1"/>
    <col min="10222" max="10222" width="11.42578125" style="9" customWidth="1"/>
    <col min="10223" max="10223" width="10.85546875" style="9" customWidth="1"/>
    <col min="10224" max="10224" width="14.5703125" style="9" customWidth="1"/>
    <col min="10225" max="10225" width="9.28515625" style="9" customWidth="1"/>
    <col min="10226" max="10226" width="11.42578125" style="9" customWidth="1"/>
    <col min="10227" max="10227" width="10.42578125" style="9" customWidth="1"/>
    <col min="10228" max="10229" width="16.28515625" style="9" customWidth="1"/>
    <col min="10230" max="10230" width="14.140625" style="9" customWidth="1"/>
    <col min="10231" max="10231" width="12" style="9" bestFit="1" customWidth="1"/>
    <col min="10232" max="10232" width="17.85546875" style="9" customWidth="1"/>
    <col min="10233" max="10233" width="9.140625" style="9"/>
    <col min="10234" max="10234" width="10.7109375" style="9" bestFit="1" customWidth="1"/>
    <col min="10235" max="10254" width="9.140625" style="9"/>
    <col min="10255" max="10255" width="10.28515625" style="9" bestFit="1" customWidth="1"/>
    <col min="10256" max="10429" width="9.140625" style="9"/>
    <col min="10430" max="10430" width="15.28515625" style="9" bestFit="1" customWidth="1"/>
    <col min="10431" max="10431" width="17.140625" style="9" customWidth="1"/>
    <col min="10432" max="10432" width="28" style="9" customWidth="1"/>
    <col min="10433" max="10433" width="2.7109375" style="9" bestFit="1" customWidth="1"/>
    <col min="10434" max="10434" width="0" style="9" hidden="1" customWidth="1"/>
    <col min="10435" max="10439" width="12.42578125" style="9" customWidth="1"/>
    <col min="10440" max="10440" width="9.5703125" style="9" customWidth="1"/>
    <col min="10441" max="10441" width="12.42578125" style="9" customWidth="1"/>
    <col min="10442" max="10442" width="9.85546875" style="9" customWidth="1"/>
    <col min="10443" max="10443" width="0" style="9" hidden="1" customWidth="1"/>
    <col min="10444" max="10445" width="11.42578125" style="9" customWidth="1"/>
    <col min="10446" max="10446" width="8.7109375" style="9" customWidth="1"/>
    <col min="10447" max="10447" width="0" style="9" hidden="1" customWidth="1"/>
    <col min="10448" max="10449" width="8" style="9" customWidth="1"/>
    <col min="10450" max="10451" width="9.28515625" style="9" customWidth="1"/>
    <col min="10452" max="10452" width="20.7109375" style="9" customWidth="1"/>
    <col min="10453" max="10453" width="18.42578125" style="9" customWidth="1"/>
    <col min="10454" max="10455" width="12.85546875" style="9" customWidth="1"/>
    <col min="10456" max="10456" width="9" style="9" customWidth="1"/>
    <col min="10457" max="10457" width="10.85546875" style="9" bestFit="1" customWidth="1"/>
    <col min="10458" max="10458" width="11.28515625" style="9" customWidth="1"/>
    <col min="10459" max="10459" width="12.5703125" style="9" customWidth="1"/>
    <col min="10460" max="10460" width="12.42578125" style="9" customWidth="1"/>
    <col min="10461" max="10461" width="5" style="9" customWidth="1"/>
    <col min="10462" max="10462" width="16" style="9" customWidth="1"/>
    <col min="10463" max="10463" width="18.85546875" style="9" customWidth="1"/>
    <col min="10464" max="10464" width="16.28515625" style="9" customWidth="1"/>
    <col min="10465" max="10467" width="10.5703125" style="9" customWidth="1"/>
    <col min="10468" max="10469" width="12.42578125" style="9" customWidth="1"/>
    <col min="10470" max="10470" width="9.85546875" style="9" customWidth="1"/>
    <col min="10471" max="10471" width="16.28515625" style="9" customWidth="1"/>
    <col min="10472" max="10472" width="17.85546875" style="9" customWidth="1"/>
    <col min="10473" max="10473" width="16.28515625" style="9" customWidth="1"/>
    <col min="10474" max="10474" width="17.85546875" style="9" customWidth="1"/>
    <col min="10475" max="10475" width="16.28515625" style="9" customWidth="1"/>
    <col min="10476" max="10476" width="10.28515625" style="9" customWidth="1"/>
    <col min="10477" max="10477" width="9.7109375" style="9" customWidth="1"/>
    <col min="10478" max="10478" width="11.42578125" style="9" customWidth="1"/>
    <col min="10479" max="10479" width="10.85546875" style="9" customWidth="1"/>
    <col min="10480" max="10480" width="14.5703125" style="9" customWidth="1"/>
    <col min="10481" max="10481" width="9.28515625" style="9" customWidth="1"/>
    <col min="10482" max="10482" width="11.42578125" style="9" customWidth="1"/>
    <col min="10483" max="10483" width="10.42578125" style="9" customWidth="1"/>
    <col min="10484" max="10485" width="16.28515625" style="9" customWidth="1"/>
    <col min="10486" max="10486" width="14.140625" style="9" customWidth="1"/>
    <col min="10487" max="10487" width="12" style="9" bestFit="1" customWidth="1"/>
    <col min="10488" max="10488" width="17.85546875" style="9" customWidth="1"/>
    <col min="10489" max="10489" width="9.140625" style="9"/>
    <col min="10490" max="10490" width="10.7109375" style="9" bestFit="1" customWidth="1"/>
    <col min="10491" max="10510" width="9.140625" style="9"/>
    <col min="10511" max="10511" width="10.28515625" style="9" bestFit="1" customWidth="1"/>
    <col min="10512" max="10685" width="9.140625" style="9"/>
    <col min="10686" max="10686" width="15.28515625" style="9" bestFit="1" customWidth="1"/>
    <col min="10687" max="10687" width="17.140625" style="9" customWidth="1"/>
    <col min="10688" max="10688" width="28" style="9" customWidth="1"/>
    <col min="10689" max="10689" width="2.7109375" style="9" bestFit="1" customWidth="1"/>
    <col min="10690" max="10690" width="0" style="9" hidden="1" customWidth="1"/>
    <col min="10691" max="10695" width="12.42578125" style="9" customWidth="1"/>
    <col min="10696" max="10696" width="9.5703125" style="9" customWidth="1"/>
    <col min="10697" max="10697" width="12.42578125" style="9" customWidth="1"/>
    <col min="10698" max="10698" width="9.85546875" style="9" customWidth="1"/>
    <col min="10699" max="10699" width="0" style="9" hidden="1" customWidth="1"/>
    <col min="10700" max="10701" width="11.42578125" style="9" customWidth="1"/>
    <col min="10702" max="10702" width="8.7109375" style="9" customWidth="1"/>
    <col min="10703" max="10703" width="0" style="9" hidden="1" customWidth="1"/>
    <col min="10704" max="10705" width="8" style="9" customWidth="1"/>
    <col min="10706" max="10707" width="9.28515625" style="9" customWidth="1"/>
    <col min="10708" max="10708" width="20.7109375" style="9" customWidth="1"/>
    <col min="10709" max="10709" width="18.42578125" style="9" customWidth="1"/>
    <col min="10710" max="10711" width="12.85546875" style="9" customWidth="1"/>
    <col min="10712" max="10712" width="9" style="9" customWidth="1"/>
    <col min="10713" max="10713" width="10.85546875" style="9" bestFit="1" customWidth="1"/>
    <col min="10714" max="10714" width="11.28515625" style="9" customWidth="1"/>
    <col min="10715" max="10715" width="12.5703125" style="9" customWidth="1"/>
    <col min="10716" max="10716" width="12.42578125" style="9" customWidth="1"/>
    <col min="10717" max="10717" width="5" style="9" customWidth="1"/>
    <col min="10718" max="10718" width="16" style="9" customWidth="1"/>
    <col min="10719" max="10719" width="18.85546875" style="9" customWidth="1"/>
    <col min="10720" max="10720" width="16.28515625" style="9" customWidth="1"/>
    <col min="10721" max="10723" width="10.5703125" style="9" customWidth="1"/>
    <col min="10724" max="10725" width="12.42578125" style="9" customWidth="1"/>
    <col min="10726" max="10726" width="9.85546875" style="9" customWidth="1"/>
    <col min="10727" max="10727" width="16.28515625" style="9" customWidth="1"/>
    <col min="10728" max="10728" width="17.85546875" style="9" customWidth="1"/>
    <col min="10729" max="10729" width="16.28515625" style="9" customWidth="1"/>
    <col min="10730" max="10730" width="17.85546875" style="9" customWidth="1"/>
    <col min="10731" max="10731" width="16.28515625" style="9" customWidth="1"/>
    <col min="10732" max="10732" width="10.28515625" style="9" customWidth="1"/>
    <col min="10733" max="10733" width="9.7109375" style="9" customWidth="1"/>
    <col min="10734" max="10734" width="11.42578125" style="9" customWidth="1"/>
    <col min="10735" max="10735" width="10.85546875" style="9" customWidth="1"/>
    <col min="10736" max="10736" width="14.5703125" style="9" customWidth="1"/>
    <col min="10737" max="10737" width="9.28515625" style="9" customWidth="1"/>
    <col min="10738" max="10738" width="11.42578125" style="9" customWidth="1"/>
    <col min="10739" max="10739" width="10.42578125" style="9" customWidth="1"/>
    <col min="10740" max="10741" width="16.28515625" style="9" customWidth="1"/>
    <col min="10742" max="10742" width="14.140625" style="9" customWidth="1"/>
    <col min="10743" max="10743" width="12" style="9" bestFit="1" customWidth="1"/>
    <col min="10744" max="10744" width="17.85546875" style="9" customWidth="1"/>
    <col min="10745" max="10745" width="9.140625" style="9"/>
    <col min="10746" max="10746" width="10.7109375" style="9" bestFit="1" customWidth="1"/>
    <col min="10747" max="10766" width="9.140625" style="9"/>
    <col min="10767" max="10767" width="10.28515625" style="9" bestFit="1" customWidth="1"/>
    <col min="10768" max="10941" width="9.140625" style="9"/>
    <col min="10942" max="10942" width="15.28515625" style="9" bestFit="1" customWidth="1"/>
    <col min="10943" max="10943" width="17.140625" style="9" customWidth="1"/>
    <col min="10944" max="10944" width="28" style="9" customWidth="1"/>
    <col min="10945" max="10945" width="2.7109375" style="9" bestFit="1" customWidth="1"/>
    <col min="10946" max="10946" width="0" style="9" hidden="1" customWidth="1"/>
    <col min="10947" max="10951" width="12.42578125" style="9" customWidth="1"/>
    <col min="10952" max="10952" width="9.5703125" style="9" customWidth="1"/>
    <col min="10953" max="10953" width="12.42578125" style="9" customWidth="1"/>
    <col min="10954" max="10954" width="9.85546875" style="9" customWidth="1"/>
    <col min="10955" max="10955" width="0" style="9" hidden="1" customWidth="1"/>
    <col min="10956" max="10957" width="11.42578125" style="9" customWidth="1"/>
    <col min="10958" max="10958" width="8.7109375" style="9" customWidth="1"/>
    <col min="10959" max="10959" width="0" style="9" hidden="1" customWidth="1"/>
    <col min="10960" max="10961" width="8" style="9" customWidth="1"/>
    <col min="10962" max="10963" width="9.28515625" style="9" customWidth="1"/>
    <col min="10964" max="10964" width="20.7109375" style="9" customWidth="1"/>
    <col min="10965" max="10965" width="18.42578125" style="9" customWidth="1"/>
    <col min="10966" max="10967" width="12.85546875" style="9" customWidth="1"/>
    <col min="10968" max="10968" width="9" style="9" customWidth="1"/>
    <col min="10969" max="10969" width="10.85546875" style="9" bestFit="1" customWidth="1"/>
    <col min="10970" max="10970" width="11.28515625" style="9" customWidth="1"/>
    <col min="10971" max="10971" width="12.5703125" style="9" customWidth="1"/>
    <col min="10972" max="10972" width="12.42578125" style="9" customWidth="1"/>
    <col min="10973" max="10973" width="5" style="9" customWidth="1"/>
    <col min="10974" max="10974" width="16" style="9" customWidth="1"/>
    <col min="10975" max="10975" width="18.85546875" style="9" customWidth="1"/>
    <col min="10976" max="10976" width="16.28515625" style="9" customWidth="1"/>
    <col min="10977" max="10979" width="10.5703125" style="9" customWidth="1"/>
    <col min="10980" max="10981" width="12.42578125" style="9" customWidth="1"/>
    <col min="10982" max="10982" width="9.85546875" style="9" customWidth="1"/>
    <col min="10983" max="10983" width="16.28515625" style="9" customWidth="1"/>
    <col min="10984" max="10984" width="17.85546875" style="9" customWidth="1"/>
    <col min="10985" max="10985" width="16.28515625" style="9" customWidth="1"/>
    <col min="10986" max="10986" width="17.85546875" style="9" customWidth="1"/>
    <col min="10987" max="10987" width="16.28515625" style="9" customWidth="1"/>
    <col min="10988" max="10988" width="10.28515625" style="9" customWidth="1"/>
    <col min="10989" max="10989" width="9.7109375" style="9" customWidth="1"/>
    <col min="10990" max="10990" width="11.42578125" style="9" customWidth="1"/>
    <col min="10991" max="10991" width="10.85546875" style="9" customWidth="1"/>
    <col min="10992" max="10992" width="14.5703125" style="9" customWidth="1"/>
    <col min="10993" max="10993" width="9.28515625" style="9" customWidth="1"/>
    <col min="10994" max="10994" width="11.42578125" style="9" customWidth="1"/>
    <col min="10995" max="10995" width="10.42578125" style="9" customWidth="1"/>
    <col min="10996" max="10997" width="16.28515625" style="9" customWidth="1"/>
    <col min="10998" max="10998" width="14.140625" style="9" customWidth="1"/>
    <col min="10999" max="10999" width="12" style="9" bestFit="1" customWidth="1"/>
    <col min="11000" max="11000" width="17.85546875" style="9" customWidth="1"/>
    <col min="11001" max="11001" width="9.140625" style="9"/>
    <col min="11002" max="11002" width="10.7109375" style="9" bestFit="1" customWidth="1"/>
    <col min="11003" max="11022" width="9.140625" style="9"/>
    <col min="11023" max="11023" width="10.28515625" style="9" bestFit="1" customWidth="1"/>
    <col min="11024" max="11197" width="9.140625" style="9"/>
    <col min="11198" max="11198" width="15.28515625" style="9" bestFit="1" customWidth="1"/>
    <col min="11199" max="11199" width="17.140625" style="9" customWidth="1"/>
    <col min="11200" max="11200" width="28" style="9" customWidth="1"/>
    <col min="11201" max="11201" width="2.7109375" style="9" bestFit="1" customWidth="1"/>
    <col min="11202" max="11202" width="0" style="9" hidden="1" customWidth="1"/>
    <col min="11203" max="11207" width="12.42578125" style="9" customWidth="1"/>
    <col min="11208" max="11208" width="9.5703125" style="9" customWidth="1"/>
    <col min="11209" max="11209" width="12.42578125" style="9" customWidth="1"/>
    <col min="11210" max="11210" width="9.85546875" style="9" customWidth="1"/>
    <col min="11211" max="11211" width="0" style="9" hidden="1" customWidth="1"/>
    <col min="11212" max="11213" width="11.42578125" style="9" customWidth="1"/>
    <col min="11214" max="11214" width="8.7109375" style="9" customWidth="1"/>
    <col min="11215" max="11215" width="0" style="9" hidden="1" customWidth="1"/>
    <col min="11216" max="11217" width="8" style="9" customWidth="1"/>
    <col min="11218" max="11219" width="9.28515625" style="9" customWidth="1"/>
    <col min="11220" max="11220" width="20.7109375" style="9" customWidth="1"/>
    <col min="11221" max="11221" width="18.42578125" style="9" customWidth="1"/>
    <col min="11222" max="11223" width="12.85546875" style="9" customWidth="1"/>
    <col min="11224" max="11224" width="9" style="9" customWidth="1"/>
    <col min="11225" max="11225" width="10.85546875" style="9" bestFit="1" customWidth="1"/>
    <col min="11226" max="11226" width="11.28515625" style="9" customWidth="1"/>
    <col min="11227" max="11227" width="12.5703125" style="9" customWidth="1"/>
    <col min="11228" max="11228" width="12.42578125" style="9" customWidth="1"/>
    <col min="11229" max="11229" width="5" style="9" customWidth="1"/>
    <col min="11230" max="11230" width="16" style="9" customWidth="1"/>
    <col min="11231" max="11231" width="18.85546875" style="9" customWidth="1"/>
    <col min="11232" max="11232" width="16.28515625" style="9" customWidth="1"/>
    <col min="11233" max="11235" width="10.5703125" style="9" customWidth="1"/>
    <col min="11236" max="11237" width="12.42578125" style="9" customWidth="1"/>
    <col min="11238" max="11238" width="9.85546875" style="9" customWidth="1"/>
    <col min="11239" max="11239" width="16.28515625" style="9" customWidth="1"/>
    <col min="11240" max="11240" width="17.85546875" style="9" customWidth="1"/>
    <col min="11241" max="11241" width="16.28515625" style="9" customWidth="1"/>
    <col min="11242" max="11242" width="17.85546875" style="9" customWidth="1"/>
    <col min="11243" max="11243" width="16.28515625" style="9" customWidth="1"/>
    <col min="11244" max="11244" width="10.28515625" style="9" customWidth="1"/>
    <col min="11245" max="11245" width="9.7109375" style="9" customWidth="1"/>
    <col min="11246" max="11246" width="11.42578125" style="9" customWidth="1"/>
    <col min="11247" max="11247" width="10.85546875" style="9" customWidth="1"/>
    <col min="11248" max="11248" width="14.5703125" style="9" customWidth="1"/>
    <col min="11249" max="11249" width="9.28515625" style="9" customWidth="1"/>
    <col min="11250" max="11250" width="11.42578125" style="9" customWidth="1"/>
    <col min="11251" max="11251" width="10.42578125" style="9" customWidth="1"/>
    <col min="11252" max="11253" width="16.28515625" style="9" customWidth="1"/>
    <col min="11254" max="11254" width="14.140625" style="9" customWidth="1"/>
    <col min="11255" max="11255" width="12" style="9" bestFit="1" customWidth="1"/>
    <col min="11256" max="11256" width="17.85546875" style="9" customWidth="1"/>
    <col min="11257" max="11257" width="9.140625" style="9"/>
    <col min="11258" max="11258" width="10.7109375" style="9" bestFit="1" customWidth="1"/>
    <col min="11259" max="11278" width="9.140625" style="9"/>
    <col min="11279" max="11279" width="10.28515625" style="9" bestFit="1" customWidth="1"/>
    <col min="11280" max="11453" width="9.140625" style="9"/>
    <col min="11454" max="11454" width="15.28515625" style="9" bestFit="1" customWidth="1"/>
    <col min="11455" max="11455" width="17.140625" style="9" customWidth="1"/>
    <col min="11456" max="11456" width="28" style="9" customWidth="1"/>
    <col min="11457" max="11457" width="2.7109375" style="9" bestFit="1" customWidth="1"/>
    <col min="11458" max="11458" width="0" style="9" hidden="1" customWidth="1"/>
    <col min="11459" max="11463" width="12.42578125" style="9" customWidth="1"/>
    <col min="11464" max="11464" width="9.5703125" style="9" customWidth="1"/>
    <col min="11465" max="11465" width="12.42578125" style="9" customWidth="1"/>
    <col min="11466" max="11466" width="9.85546875" style="9" customWidth="1"/>
    <col min="11467" max="11467" width="0" style="9" hidden="1" customWidth="1"/>
    <col min="11468" max="11469" width="11.42578125" style="9" customWidth="1"/>
    <col min="11470" max="11470" width="8.7109375" style="9" customWidth="1"/>
    <col min="11471" max="11471" width="0" style="9" hidden="1" customWidth="1"/>
    <col min="11472" max="11473" width="8" style="9" customWidth="1"/>
    <col min="11474" max="11475" width="9.28515625" style="9" customWidth="1"/>
    <col min="11476" max="11476" width="20.7109375" style="9" customWidth="1"/>
    <col min="11477" max="11477" width="18.42578125" style="9" customWidth="1"/>
    <col min="11478" max="11479" width="12.85546875" style="9" customWidth="1"/>
    <col min="11480" max="11480" width="9" style="9" customWidth="1"/>
    <col min="11481" max="11481" width="10.85546875" style="9" bestFit="1" customWidth="1"/>
    <col min="11482" max="11482" width="11.28515625" style="9" customWidth="1"/>
    <col min="11483" max="11483" width="12.5703125" style="9" customWidth="1"/>
    <col min="11484" max="11484" width="12.42578125" style="9" customWidth="1"/>
    <col min="11485" max="11485" width="5" style="9" customWidth="1"/>
    <col min="11486" max="11486" width="16" style="9" customWidth="1"/>
    <col min="11487" max="11487" width="18.85546875" style="9" customWidth="1"/>
    <col min="11488" max="11488" width="16.28515625" style="9" customWidth="1"/>
    <col min="11489" max="11491" width="10.5703125" style="9" customWidth="1"/>
    <col min="11492" max="11493" width="12.42578125" style="9" customWidth="1"/>
    <col min="11494" max="11494" width="9.85546875" style="9" customWidth="1"/>
    <col min="11495" max="11495" width="16.28515625" style="9" customWidth="1"/>
    <col min="11496" max="11496" width="17.85546875" style="9" customWidth="1"/>
    <col min="11497" max="11497" width="16.28515625" style="9" customWidth="1"/>
    <col min="11498" max="11498" width="17.85546875" style="9" customWidth="1"/>
    <col min="11499" max="11499" width="16.28515625" style="9" customWidth="1"/>
    <col min="11500" max="11500" width="10.28515625" style="9" customWidth="1"/>
    <col min="11501" max="11501" width="9.7109375" style="9" customWidth="1"/>
    <col min="11502" max="11502" width="11.42578125" style="9" customWidth="1"/>
    <col min="11503" max="11503" width="10.85546875" style="9" customWidth="1"/>
    <col min="11504" max="11504" width="14.5703125" style="9" customWidth="1"/>
    <col min="11505" max="11505" width="9.28515625" style="9" customWidth="1"/>
    <col min="11506" max="11506" width="11.42578125" style="9" customWidth="1"/>
    <col min="11507" max="11507" width="10.42578125" style="9" customWidth="1"/>
    <col min="11508" max="11509" width="16.28515625" style="9" customWidth="1"/>
    <col min="11510" max="11510" width="14.140625" style="9" customWidth="1"/>
    <col min="11511" max="11511" width="12" style="9" bestFit="1" customWidth="1"/>
    <col min="11512" max="11512" width="17.85546875" style="9" customWidth="1"/>
    <col min="11513" max="11513" width="9.140625" style="9"/>
    <col min="11514" max="11514" width="10.7109375" style="9" bestFit="1" customWidth="1"/>
    <col min="11515" max="11534" width="9.140625" style="9"/>
    <col min="11535" max="11535" width="10.28515625" style="9" bestFit="1" customWidth="1"/>
    <col min="11536" max="11709" width="9.140625" style="9"/>
    <col min="11710" max="11710" width="15.28515625" style="9" bestFit="1" customWidth="1"/>
    <col min="11711" max="11711" width="17.140625" style="9" customWidth="1"/>
    <col min="11712" max="11712" width="28" style="9" customWidth="1"/>
    <col min="11713" max="11713" width="2.7109375" style="9" bestFit="1" customWidth="1"/>
    <col min="11714" max="11714" width="0" style="9" hidden="1" customWidth="1"/>
    <col min="11715" max="11719" width="12.42578125" style="9" customWidth="1"/>
    <col min="11720" max="11720" width="9.5703125" style="9" customWidth="1"/>
    <col min="11721" max="11721" width="12.42578125" style="9" customWidth="1"/>
    <col min="11722" max="11722" width="9.85546875" style="9" customWidth="1"/>
    <col min="11723" max="11723" width="0" style="9" hidden="1" customWidth="1"/>
    <col min="11724" max="11725" width="11.42578125" style="9" customWidth="1"/>
    <col min="11726" max="11726" width="8.7109375" style="9" customWidth="1"/>
    <col min="11727" max="11727" width="0" style="9" hidden="1" customWidth="1"/>
    <col min="11728" max="11729" width="8" style="9" customWidth="1"/>
    <col min="11730" max="11731" width="9.28515625" style="9" customWidth="1"/>
    <col min="11732" max="11732" width="20.7109375" style="9" customWidth="1"/>
    <col min="11733" max="11733" width="18.42578125" style="9" customWidth="1"/>
    <col min="11734" max="11735" width="12.85546875" style="9" customWidth="1"/>
    <col min="11736" max="11736" width="9" style="9" customWidth="1"/>
    <col min="11737" max="11737" width="10.85546875" style="9" bestFit="1" customWidth="1"/>
    <col min="11738" max="11738" width="11.28515625" style="9" customWidth="1"/>
    <col min="11739" max="11739" width="12.5703125" style="9" customWidth="1"/>
    <col min="11740" max="11740" width="12.42578125" style="9" customWidth="1"/>
    <col min="11741" max="11741" width="5" style="9" customWidth="1"/>
    <col min="11742" max="11742" width="16" style="9" customWidth="1"/>
    <col min="11743" max="11743" width="18.85546875" style="9" customWidth="1"/>
    <col min="11744" max="11744" width="16.28515625" style="9" customWidth="1"/>
    <col min="11745" max="11747" width="10.5703125" style="9" customWidth="1"/>
    <col min="11748" max="11749" width="12.42578125" style="9" customWidth="1"/>
    <col min="11750" max="11750" width="9.85546875" style="9" customWidth="1"/>
    <col min="11751" max="11751" width="16.28515625" style="9" customWidth="1"/>
    <col min="11752" max="11752" width="17.85546875" style="9" customWidth="1"/>
    <col min="11753" max="11753" width="16.28515625" style="9" customWidth="1"/>
    <col min="11754" max="11754" width="17.85546875" style="9" customWidth="1"/>
    <col min="11755" max="11755" width="16.28515625" style="9" customWidth="1"/>
    <col min="11756" max="11756" width="10.28515625" style="9" customWidth="1"/>
    <col min="11757" max="11757" width="9.7109375" style="9" customWidth="1"/>
    <col min="11758" max="11758" width="11.42578125" style="9" customWidth="1"/>
    <col min="11759" max="11759" width="10.85546875" style="9" customWidth="1"/>
    <col min="11760" max="11760" width="14.5703125" style="9" customWidth="1"/>
    <col min="11761" max="11761" width="9.28515625" style="9" customWidth="1"/>
    <col min="11762" max="11762" width="11.42578125" style="9" customWidth="1"/>
    <col min="11763" max="11763" width="10.42578125" style="9" customWidth="1"/>
    <col min="11764" max="11765" width="16.28515625" style="9" customWidth="1"/>
    <col min="11766" max="11766" width="14.140625" style="9" customWidth="1"/>
    <col min="11767" max="11767" width="12" style="9" bestFit="1" customWidth="1"/>
    <col min="11768" max="11768" width="17.85546875" style="9" customWidth="1"/>
    <col min="11769" max="11769" width="9.140625" style="9"/>
    <col min="11770" max="11770" width="10.7109375" style="9" bestFit="1" customWidth="1"/>
    <col min="11771" max="11790" width="9.140625" style="9"/>
    <col min="11791" max="11791" width="10.28515625" style="9" bestFit="1" customWidth="1"/>
    <col min="11792" max="11965" width="9.140625" style="9"/>
    <col min="11966" max="11966" width="15.28515625" style="9" bestFit="1" customWidth="1"/>
    <col min="11967" max="11967" width="17.140625" style="9" customWidth="1"/>
    <col min="11968" max="11968" width="28" style="9" customWidth="1"/>
    <col min="11969" max="11969" width="2.7109375" style="9" bestFit="1" customWidth="1"/>
    <col min="11970" max="11970" width="0" style="9" hidden="1" customWidth="1"/>
    <col min="11971" max="11975" width="12.42578125" style="9" customWidth="1"/>
    <col min="11976" max="11976" width="9.5703125" style="9" customWidth="1"/>
    <col min="11977" max="11977" width="12.42578125" style="9" customWidth="1"/>
    <col min="11978" max="11978" width="9.85546875" style="9" customWidth="1"/>
    <col min="11979" max="11979" width="0" style="9" hidden="1" customWidth="1"/>
    <col min="11980" max="11981" width="11.42578125" style="9" customWidth="1"/>
    <col min="11982" max="11982" width="8.7109375" style="9" customWidth="1"/>
    <col min="11983" max="11983" width="0" style="9" hidden="1" customWidth="1"/>
    <col min="11984" max="11985" width="8" style="9" customWidth="1"/>
    <col min="11986" max="11987" width="9.28515625" style="9" customWidth="1"/>
    <col min="11988" max="11988" width="20.7109375" style="9" customWidth="1"/>
    <col min="11989" max="11989" width="18.42578125" style="9" customWidth="1"/>
    <col min="11990" max="11991" width="12.85546875" style="9" customWidth="1"/>
    <col min="11992" max="11992" width="9" style="9" customWidth="1"/>
    <col min="11993" max="11993" width="10.85546875" style="9" bestFit="1" customWidth="1"/>
    <col min="11994" max="11994" width="11.28515625" style="9" customWidth="1"/>
    <col min="11995" max="11995" width="12.5703125" style="9" customWidth="1"/>
    <col min="11996" max="11996" width="12.42578125" style="9" customWidth="1"/>
    <col min="11997" max="11997" width="5" style="9" customWidth="1"/>
    <col min="11998" max="11998" width="16" style="9" customWidth="1"/>
    <col min="11999" max="11999" width="18.85546875" style="9" customWidth="1"/>
    <col min="12000" max="12000" width="16.28515625" style="9" customWidth="1"/>
    <col min="12001" max="12003" width="10.5703125" style="9" customWidth="1"/>
    <col min="12004" max="12005" width="12.42578125" style="9" customWidth="1"/>
    <col min="12006" max="12006" width="9.85546875" style="9" customWidth="1"/>
    <col min="12007" max="12007" width="16.28515625" style="9" customWidth="1"/>
    <col min="12008" max="12008" width="17.85546875" style="9" customWidth="1"/>
    <col min="12009" max="12009" width="16.28515625" style="9" customWidth="1"/>
    <col min="12010" max="12010" width="17.85546875" style="9" customWidth="1"/>
    <col min="12011" max="12011" width="16.28515625" style="9" customWidth="1"/>
    <col min="12012" max="12012" width="10.28515625" style="9" customWidth="1"/>
    <col min="12013" max="12013" width="9.7109375" style="9" customWidth="1"/>
    <col min="12014" max="12014" width="11.42578125" style="9" customWidth="1"/>
    <col min="12015" max="12015" width="10.85546875" style="9" customWidth="1"/>
    <col min="12016" max="12016" width="14.5703125" style="9" customWidth="1"/>
    <col min="12017" max="12017" width="9.28515625" style="9" customWidth="1"/>
    <col min="12018" max="12018" width="11.42578125" style="9" customWidth="1"/>
    <col min="12019" max="12019" width="10.42578125" style="9" customWidth="1"/>
    <col min="12020" max="12021" width="16.28515625" style="9" customWidth="1"/>
    <col min="12022" max="12022" width="14.140625" style="9" customWidth="1"/>
    <col min="12023" max="12023" width="12" style="9" bestFit="1" customWidth="1"/>
    <col min="12024" max="12024" width="17.85546875" style="9" customWidth="1"/>
    <col min="12025" max="12025" width="9.140625" style="9"/>
    <col min="12026" max="12026" width="10.7109375" style="9" bestFit="1" customWidth="1"/>
    <col min="12027" max="12046" width="9.140625" style="9"/>
    <col min="12047" max="12047" width="10.28515625" style="9" bestFit="1" customWidth="1"/>
    <col min="12048" max="12221" width="9.140625" style="9"/>
    <col min="12222" max="12222" width="15.28515625" style="9" bestFit="1" customWidth="1"/>
    <col min="12223" max="12223" width="17.140625" style="9" customWidth="1"/>
    <col min="12224" max="12224" width="28" style="9" customWidth="1"/>
    <col min="12225" max="12225" width="2.7109375" style="9" bestFit="1" customWidth="1"/>
    <col min="12226" max="12226" width="0" style="9" hidden="1" customWidth="1"/>
    <col min="12227" max="12231" width="12.42578125" style="9" customWidth="1"/>
    <col min="12232" max="12232" width="9.5703125" style="9" customWidth="1"/>
    <col min="12233" max="12233" width="12.42578125" style="9" customWidth="1"/>
    <col min="12234" max="12234" width="9.85546875" style="9" customWidth="1"/>
    <col min="12235" max="12235" width="0" style="9" hidden="1" customWidth="1"/>
    <col min="12236" max="12237" width="11.42578125" style="9" customWidth="1"/>
    <col min="12238" max="12238" width="8.7109375" style="9" customWidth="1"/>
    <col min="12239" max="12239" width="0" style="9" hidden="1" customWidth="1"/>
    <col min="12240" max="12241" width="8" style="9" customWidth="1"/>
    <col min="12242" max="12243" width="9.28515625" style="9" customWidth="1"/>
    <col min="12244" max="12244" width="20.7109375" style="9" customWidth="1"/>
    <col min="12245" max="12245" width="18.42578125" style="9" customWidth="1"/>
    <col min="12246" max="12247" width="12.85546875" style="9" customWidth="1"/>
    <col min="12248" max="12248" width="9" style="9" customWidth="1"/>
    <col min="12249" max="12249" width="10.85546875" style="9" bestFit="1" customWidth="1"/>
    <col min="12250" max="12250" width="11.28515625" style="9" customWidth="1"/>
    <col min="12251" max="12251" width="12.5703125" style="9" customWidth="1"/>
    <col min="12252" max="12252" width="12.42578125" style="9" customWidth="1"/>
    <col min="12253" max="12253" width="5" style="9" customWidth="1"/>
    <col min="12254" max="12254" width="16" style="9" customWidth="1"/>
    <col min="12255" max="12255" width="18.85546875" style="9" customWidth="1"/>
    <col min="12256" max="12256" width="16.28515625" style="9" customWidth="1"/>
    <col min="12257" max="12259" width="10.5703125" style="9" customWidth="1"/>
    <col min="12260" max="12261" width="12.42578125" style="9" customWidth="1"/>
    <col min="12262" max="12262" width="9.85546875" style="9" customWidth="1"/>
    <col min="12263" max="12263" width="16.28515625" style="9" customWidth="1"/>
    <col min="12264" max="12264" width="17.85546875" style="9" customWidth="1"/>
    <col min="12265" max="12265" width="16.28515625" style="9" customWidth="1"/>
    <col min="12266" max="12266" width="17.85546875" style="9" customWidth="1"/>
    <col min="12267" max="12267" width="16.28515625" style="9" customWidth="1"/>
    <col min="12268" max="12268" width="10.28515625" style="9" customWidth="1"/>
    <col min="12269" max="12269" width="9.7109375" style="9" customWidth="1"/>
    <col min="12270" max="12270" width="11.42578125" style="9" customWidth="1"/>
    <col min="12271" max="12271" width="10.85546875" style="9" customWidth="1"/>
    <col min="12272" max="12272" width="14.5703125" style="9" customWidth="1"/>
    <col min="12273" max="12273" width="9.28515625" style="9" customWidth="1"/>
    <col min="12274" max="12274" width="11.42578125" style="9" customWidth="1"/>
    <col min="12275" max="12275" width="10.42578125" style="9" customWidth="1"/>
    <col min="12276" max="12277" width="16.28515625" style="9" customWidth="1"/>
    <col min="12278" max="12278" width="14.140625" style="9" customWidth="1"/>
    <col min="12279" max="12279" width="12" style="9" bestFit="1" customWidth="1"/>
    <col min="12280" max="12280" width="17.85546875" style="9" customWidth="1"/>
    <col min="12281" max="12281" width="9.140625" style="9"/>
    <col min="12282" max="12282" width="10.7109375" style="9" bestFit="1" customWidth="1"/>
    <col min="12283" max="12302" width="9.140625" style="9"/>
    <col min="12303" max="12303" width="10.28515625" style="9" bestFit="1" customWidth="1"/>
    <col min="12304" max="12477" width="9.140625" style="9"/>
    <col min="12478" max="12478" width="15.28515625" style="9" bestFit="1" customWidth="1"/>
    <col min="12479" max="12479" width="17.140625" style="9" customWidth="1"/>
    <col min="12480" max="12480" width="28" style="9" customWidth="1"/>
    <col min="12481" max="12481" width="2.7109375" style="9" bestFit="1" customWidth="1"/>
    <col min="12482" max="12482" width="0" style="9" hidden="1" customWidth="1"/>
    <col min="12483" max="12487" width="12.42578125" style="9" customWidth="1"/>
    <col min="12488" max="12488" width="9.5703125" style="9" customWidth="1"/>
    <col min="12489" max="12489" width="12.42578125" style="9" customWidth="1"/>
    <col min="12490" max="12490" width="9.85546875" style="9" customWidth="1"/>
    <col min="12491" max="12491" width="0" style="9" hidden="1" customWidth="1"/>
    <col min="12492" max="12493" width="11.42578125" style="9" customWidth="1"/>
    <col min="12494" max="12494" width="8.7109375" style="9" customWidth="1"/>
    <col min="12495" max="12495" width="0" style="9" hidden="1" customWidth="1"/>
    <col min="12496" max="12497" width="8" style="9" customWidth="1"/>
    <col min="12498" max="12499" width="9.28515625" style="9" customWidth="1"/>
    <col min="12500" max="12500" width="20.7109375" style="9" customWidth="1"/>
    <col min="12501" max="12501" width="18.42578125" style="9" customWidth="1"/>
    <col min="12502" max="12503" width="12.85546875" style="9" customWidth="1"/>
    <col min="12504" max="12504" width="9" style="9" customWidth="1"/>
    <col min="12505" max="12505" width="10.85546875" style="9" bestFit="1" customWidth="1"/>
    <col min="12506" max="12506" width="11.28515625" style="9" customWidth="1"/>
    <col min="12507" max="12507" width="12.5703125" style="9" customWidth="1"/>
    <col min="12508" max="12508" width="12.42578125" style="9" customWidth="1"/>
    <col min="12509" max="12509" width="5" style="9" customWidth="1"/>
    <col min="12510" max="12510" width="16" style="9" customWidth="1"/>
    <col min="12511" max="12511" width="18.85546875" style="9" customWidth="1"/>
    <col min="12512" max="12512" width="16.28515625" style="9" customWidth="1"/>
    <col min="12513" max="12515" width="10.5703125" style="9" customWidth="1"/>
    <col min="12516" max="12517" width="12.42578125" style="9" customWidth="1"/>
    <col min="12518" max="12518" width="9.85546875" style="9" customWidth="1"/>
    <col min="12519" max="12519" width="16.28515625" style="9" customWidth="1"/>
    <col min="12520" max="12520" width="17.85546875" style="9" customWidth="1"/>
    <col min="12521" max="12521" width="16.28515625" style="9" customWidth="1"/>
    <col min="12522" max="12522" width="17.85546875" style="9" customWidth="1"/>
    <col min="12523" max="12523" width="16.28515625" style="9" customWidth="1"/>
    <col min="12524" max="12524" width="10.28515625" style="9" customWidth="1"/>
    <col min="12525" max="12525" width="9.7109375" style="9" customWidth="1"/>
    <col min="12526" max="12526" width="11.42578125" style="9" customWidth="1"/>
    <col min="12527" max="12527" width="10.85546875" style="9" customWidth="1"/>
    <col min="12528" max="12528" width="14.5703125" style="9" customWidth="1"/>
    <col min="12529" max="12529" width="9.28515625" style="9" customWidth="1"/>
    <col min="12530" max="12530" width="11.42578125" style="9" customWidth="1"/>
    <col min="12531" max="12531" width="10.42578125" style="9" customWidth="1"/>
    <col min="12532" max="12533" width="16.28515625" style="9" customWidth="1"/>
    <col min="12534" max="12534" width="14.140625" style="9" customWidth="1"/>
    <col min="12535" max="12535" width="12" style="9" bestFit="1" customWidth="1"/>
    <col min="12536" max="12536" width="17.85546875" style="9" customWidth="1"/>
    <col min="12537" max="12537" width="9.140625" style="9"/>
    <col min="12538" max="12538" width="10.7109375" style="9" bestFit="1" customWidth="1"/>
    <col min="12539" max="12558" width="9.140625" style="9"/>
    <col min="12559" max="12559" width="10.28515625" style="9" bestFit="1" customWidth="1"/>
    <col min="12560" max="12733" width="9.140625" style="9"/>
    <col min="12734" max="12734" width="15.28515625" style="9" bestFit="1" customWidth="1"/>
    <col min="12735" max="12735" width="17.140625" style="9" customWidth="1"/>
    <col min="12736" max="12736" width="28" style="9" customWidth="1"/>
    <col min="12737" max="12737" width="2.7109375" style="9" bestFit="1" customWidth="1"/>
    <col min="12738" max="12738" width="0" style="9" hidden="1" customWidth="1"/>
    <col min="12739" max="12743" width="12.42578125" style="9" customWidth="1"/>
    <col min="12744" max="12744" width="9.5703125" style="9" customWidth="1"/>
    <col min="12745" max="12745" width="12.42578125" style="9" customWidth="1"/>
    <col min="12746" max="12746" width="9.85546875" style="9" customWidth="1"/>
    <col min="12747" max="12747" width="0" style="9" hidden="1" customWidth="1"/>
    <col min="12748" max="12749" width="11.42578125" style="9" customWidth="1"/>
    <col min="12750" max="12750" width="8.7109375" style="9" customWidth="1"/>
    <col min="12751" max="12751" width="0" style="9" hidden="1" customWidth="1"/>
    <col min="12752" max="12753" width="8" style="9" customWidth="1"/>
    <col min="12754" max="12755" width="9.28515625" style="9" customWidth="1"/>
    <col min="12756" max="12756" width="20.7109375" style="9" customWidth="1"/>
    <col min="12757" max="12757" width="18.42578125" style="9" customWidth="1"/>
    <col min="12758" max="12759" width="12.85546875" style="9" customWidth="1"/>
    <col min="12760" max="12760" width="9" style="9" customWidth="1"/>
    <col min="12761" max="12761" width="10.85546875" style="9" bestFit="1" customWidth="1"/>
    <col min="12762" max="12762" width="11.28515625" style="9" customWidth="1"/>
    <col min="12763" max="12763" width="12.5703125" style="9" customWidth="1"/>
    <col min="12764" max="12764" width="12.42578125" style="9" customWidth="1"/>
    <col min="12765" max="12765" width="5" style="9" customWidth="1"/>
    <col min="12766" max="12766" width="16" style="9" customWidth="1"/>
    <col min="12767" max="12767" width="18.85546875" style="9" customWidth="1"/>
    <col min="12768" max="12768" width="16.28515625" style="9" customWidth="1"/>
    <col min="12769" max="12771" width="10.5703125" style="9" customWidth="1"/>
    <col min="12772" max="12773" width="12.42578125" style="9" customWidth="1"/>
    <col min="12774" max="12774" width="9.85546875" style="9" customWidth="1"/>
    <col min="12775" max="12775" width="16.28515625" style="9" customWidth="1"/>
    <col min="12776" max="12776" width="17.85546875" style="9" customWidth="1"/>
    <col min="12777" max="12777" width="16.28515625" style="9" customWidth="1"/>
    <col min="12778" max="12778" width="17.85546875" style="9" customWidth="1"/>
    <col min="12779" max="12779" width="16.28515625" style="9" customWidth="1"/>
    <col min="12780" max="12780" width="10.28515625" style="9" customWidth="1"/>
    <col min="12781" max="12781" width="9.7109375" style="9" customWidth="1"/>
    <col min="12782" max="12782" width="11.42578125" style="9" customWidth="1"/>
    <col min="12783" max="12783" width="10.85546875" style="9" customWidth="1"/>
    <col min="12784" max="12784" width="14.5703125" style="9" customWidth="1"/>
    <col min="12785" max="12785" width="9.28515625" style="9" customWidth="1"/>
    <col min="12786" max="12786" width="11.42578125" style="9" customWidth="1"/>
    <col min="12787" max="12787" width="10.42578125" style="9" customWidth="1"/>
    <col min="12788" max="12789" width="16.28515625" style="9" customWidth="1"/>
    <col min="12790" max="12790" width="14.140625" style="9" customWidth="1"/>
    <col min="12791" max="12791" width="12" style="9" bestFit="1" customWidth="1"/>
    <col min="12792" max="12792" width="17.85546875" style="9" customWidth="1"/>
    <col min="12793" max="12793" width="9.140625" style="9"/>
    <col min="12794" max="12794" width="10.7109375" style="9" bestFit="1" customWidth="1"/>
    <col min="12795" max="12814" width="9.140625" style="9"/>
    <col min="12815" max="12815" width="10.28515625" style="9" bestFit="1" customWidth="1"/>
    <col min="12816" max="12989" width="9.140625" style="9"/>
    <col min="12990" max="12990" width="15.28515625" style="9" bestFit="1" customWidth="1"/>
    <col min="12991" max="12991" width="17.140625" style="9" customWidth="1"/>
    <col min="12992" max="12992" width="28" style="9" customWidth="1"/>
    <col min="12993" max="12993" width="2.7109375" style="9" bestFit="1" customWidth="1"/>
    <col min="12994" max="12994" width="0" style="9" hidden="1" customWidth="1"/>
    <col min="12995" max="12999" width="12.42578125" style="9" customWidth="1"/>
    <col min="13000" max="13000" width="9.5703125" style="9" customWidth="1"/>
    <col min="13001" max="13001" width="12.42578125" style="9" customWidth="1"/>
    <col min="13002" max="13002" width="9.85546875" style="9" customWidth="1"/>
    <col min="13003" max="13003" width="0" style="9" hidden="1" customWidth="1"/>
    <col min="13004" max="13005" width="11.42578125" style="9" customWidth="1"/>
    <col min="13006" max="13006" width="8.7109375" style="9" customWidth="1"/>
    <col min="13007" max="13007" width="0" style="9" hidden="1" customWidth="1"/>
    <col min="13008" max="13009" width="8" style="9" customWidth="1"/>
    <col min="13010" max="13011" width="9.28515625" style="9" customWidth="1"/>
    <col min="13012" max="13012" width="20.7109375" style="9" customWidth="1"/>
    <col min="13013" max="13013" width="18.42578125" style="9" customWidth="1"/>
    <col min="13014" max="13015" width="12.85546875" style="9" customWidth="1"/>
    <col min="13016" max="13016" width="9" style="9" customWidth="1"/>
    <col min="13017" max="13017" width="10.85546875" style="9" bestFit="1" customWidth="1"/>
    <col min="13018" max="13018" width="11.28515625" style="9" customWidth="1"/>
    <col min="13019" max="13019" width="12.5703125" style="9" customWidth="1"/>
    <col min="13020" max="13020" width="12.42578125" style="9" customWidth="1"/>
    <col min="13021" max="13021" width="5" style="9" customWidth="1"/>
    <col min="13022" max="13022" width="16" style="9" customWidth="1"/>
    <col min="13023" max="13023" width="18.85546875" style="9" customWidth="1"/>
    <col min="13024" max="13024" width="16.28515625" style="9" customWidth="1"/>
    <col min="13025" max="13027" width="10.5703125" style="9" customWidth="1"/>
    <col min="13028" max="13029" width="12.42578125" style="9" customWidth="1"/>
    <col min="13030" max="13030" width="9.85546875" style="9" customWidth="1"/>
    <col min="13031" max="13031" width="16.28515625" style="9" customWidth="1"/>
    <col min="13032" max="13032" width="17.85546875" style="9" customWidth="1"/>
    <col min="13033" max="13033" width="16.28515625" style="9" customWidth="1"/>
    <col min="13034" max="13034" width="17.85546875" style="9" customWidth="1"/>
    <col min="13035" max="13035" width="16.28515625" style="9" customWidth="1"/>
    <col min="13036" max="13036" width="10.28515625" style="9" customWidth="1"/>
    <col min="13037" max="13037" width="9.7109375" style="9" customWidth="1"/>
    <col min="13038" max="13038" width="11.42578125" style="9" customWidth="1"/>
    <col min="13039" max="13039" width="10.85546875" style="9" customWidth="1"/>
    <col min="13040" max="13040" width="14.5703125" style="9" customWidth="1"/>
    <col min="13041" max="13041" width="9.28515625" style="9" customWidth="1"/>
    <col min="13042" max="13042" width="11.42578125" style="9" customWidth="1"/>
    <col min="13043" max="13043" width="10.42578125" style="9" customWidth="1"/>
    <col min="13044" max="13045" width="16.28515625" style="9" customWidth="1"/>
    <col min="13046" max="13046" width="14.140625" style="9" customWidth="1"/>
    <col min="13047" max="13047" width="12" style="9" bestFit="1" customWidth="1"/>
    <col min="13048" max="13048" width="17.85546875" style="9" customWidth="1"/>
    <col min="13049" max="13049" width="9.140625" style="9"/>
    <col min="13050" max="13050" width="10.7109375" style="9" bestFit="1" customWidth="1"/>
    <col min="13051" max="13070" width="9.140625" style="9"/>
    <col min="13071" max="13071" width="10.28515625" style="9" bestFit="1" customWidth="1"/>
    <col min="13072" max="13245" width="9.140625" style="9"/>
    <col min="13246" max="13246" width="15.28515625" style="9" bestFit="1" customWidth="1"/>
    <col min="13247" max="13247" width="17.140625" style="9" customWidth="1"/>
    <col min="13248" max="13248" width="28" style="9" customWidth="1"/>
    <col min="13249" max="13249" width="2.7109375" style="9" bestFit="1" customWidth="1"/>
    <col min="13250" max="13250" width="0" style="9" hidden="1" customWidth="1"/>
    <col min="13251" max="13255" width="12.42578125" style="9" customWidth="1"/>
    <col min="13256" max="13256" width="9.5703125" style="9" customWidth="1"/>
    <col min="13257" max="13257" width="12.42578125" style="9" customWidth="1"/>
    <col min="13258" max="13258" width="9.85546875" style="9" customWidth="1"/>
    <col min="13259" max="13259" width="0" style="9" hidden="1" customWidth="1"/>
    <col min="13260" max="13261" width="11.42578125" style="9" customWidth="1"/>
    <col min="13262" max="13262" width="8.7109375" style="9" customWidth="1"/>
    <col min="13263" max="13263" width="0" style="9" hidden="1" customWidth="1"/>
    <col min="13264" max="13265" width="8" style="9" customWidth="1"/>
    <col min="13266" max="13267" width="9.28515625" style="9" customWidth="1"/>
    <col min="13268" max="13268" width="20.7109375" style="9" customWidth="1"/>
    <col min="13269" max="13269" width="18.42578125" style="9" customWidth="1"/>
    <col min="13270" max="13271" width="12.85546875" style="9" customWidth="1"/>
    <col min="13272" max="13272" width="9" style="9" customWidth="1"/>
    <col min="13273" max="13273" width="10.85546875" style="9" bestFit="1" customWidth="1"/>
    <col min="13274" max="13274" width="11.28515625" style="9" customWidth="1"/>
    <col min="13275" max="13275" width="12.5703125" style="9" customWidth="1"/>
    <col min="13276" max="13276" width="12.42578125" style="9" customWidth="1"/>
    <col min="13277" max="13277" width="5" style="9" customWidth="1"/>
    <col min="13278" max="13278" width="16" style="9" customWidth="1"/>
    <col min="13279" max="13279" width="18.85546875" style="9" customWidth="1"/>
    <col min="13280" max="13280" width="16.28515625" style="9" customWidth="1"/>
    <col min="13281" max="13283" width="10.5703125" style="9" customWidth="1"/>
    <col min="13284" max="13285" width="12.42578125" style="9" customWidth="1"/>
    <col min="13286" max="13286" width="9.85546875" style="9" customWidth="1"/>
    <col min="13287" max="13287" width="16.28515625" style="9" customWidth="1"/>
    <col min="13288" max="13288" width="17.85546875" style="9" customWidth="1"/>
    <col min="13289" max="13289" width="16.28515625" style="9" customWidth="1"/>
    <col min="13290" max="13290" width="17.85546875" style="9" customWidth="1"/>
    <col min="13291" max="13291" width="16.28515625" style="9" customWidth="1"/>
    <col min="13292" max="13292" width="10.28515625" style="9" customWidth="1"/>
    <col min="13293" max="13293" width="9.7109375" style="9" customWidth="1"/>
    <col min="13294" max="13294" width="11.42578125" style="9" customWidth="1"/>
    <col min="13295" max="13295" width="10.85546875" style="9" customWidth="1"/>
    <col min="13296" max="13296" width="14.5703125" style="9" customWidth="1"/>
    <col min="13297" max="13297" width="9.28515625" style="9" customWidth="1"/>
    <col min="13298" max="13298" width="11.42578125" style="9" customWidth="1"/>
    <col min="13299" max="13299" width="10.42578125" style="9" customWidth="1"/>
    <col min="13300" max="13301" width="16.28515625" style="9" customWidth="1"/>
    <col min="13302" max="13302" width="14.140625" style="9" customWidth="1"/>
    <col min="13303" max="13303" width="12" style="9" bestFit="1" customWidth="1"/>
    <col min="13304" max="13304" width="17.85546875" style="9" customWidth="1"/>
    <col min="13305" max="13305" width="9.140625" style="9"/>
    <col min="13306" max="13306" width="10.7109375" style="9" bestFit="1" customWidth="1"/>
    <col min="13307" max="13326" width="9.140625" style="9"/>
    <col min="13327" max="13327" width="10.28515625" style="9" bestFit="1" customWidth="1"/>
    <col min="13328" max="13501" width="9.140625" style="9"/>
    <col min="13502" max="13502" width="15.28515625" style="9" bestFit="1" customWidth="1"/>
    <col min="13503" max="13503" width="17.140625" style="9" customWidth="1"/>
    <col min="13504" max="13504" width="28" style="9" customWidth="1"/>
    <col min="13505" max="13505" width="2.7109375" style="9" bestFit="1" customWidth="1"/>
    <col min="13506" max="13506" width="0" style="9" hidden="1" customWidth="1"/>
    <col min="13507" max="13511" width="12.42578125" style="9" customWidth="1"/>
    <col min="13512" max="13512" width="9.5703125" style="9" customWidth="1"/>
    <col min="13513" max="13513" width="12.42578125" style="9" customWidth="1"/>
    <col min="13514" max="13514" width="9.85546875" style="9" customWidth="1"/>
    <col min="13515" max="13515" width="0" style="9" hidden="1" customWidth="1"/>
    <col min="13516" max="13517" width="11.42578125" style="9" customWidth="1"/>
    <col min="13518" max="13518" width="8.7109375" style="9" customWidth="1"/>
    <col min="13519" max="13519" width="0" style="9" hidden="1" customWidth="1"/>
    <col min="13520" max="13521" width="8" style="9" customWidth="1"/>
    <col min="13522" max="13523" width="9.28515625" style="9" customWidth="1"/>
    <col min="13524" max="13524" width="20.7109375" style="9" customWidth="1"/>
    <col min="13525" max="13525" width="18.42578125" style="9" customWidth="1"/>
    <col min="13526" max="13527" width="12.85546875" style="9" customWidth="1"/>
    <col min="13528" max="13528" width="9" style="9" customWidth="1"/>
    <col min="13529" max="13529" width="10.85546875" style="9" bestFit="1" customWidth="1"/>
    <col min="13530" max="13530" width="11.28515625" style="9" customWidth="1"/>
    <col min="13531" max="13531" width="12.5703125" style="9" customWidth="1"/>
    <col min="13532" max="13532" width="12.42578125" style="9" customWidth="1"/>
    <col min="13533" max="13533" width="5" style="9" customWidth="1"/>
    <col min="13534" max="13534" width="16" style="9" customWidth="1"/>
    <col min="13535" max="13535" width="18.85546875" style="9" customWidth="1"/>
    <col min="13536" max="13536" width="16.28515625" style="9" customWidth="1"/>
    <col min="13537" max="13539" width="10.5703125" style="9" customWidth="1"/>
    <col min="13540" max="13541" width="12.42578125" style="9" customWidth="1"/>
    <col min="13542" max="13542" width="9.85546875" style="9" customWidth="1"/>
    <col min="13543" max="13543" width="16.28515625" style="9" customWidth="1"/>
    <col min="13544" max="13544" width="17.85546875" style="9" customWidth="1"/>
    <col min="13545" max="13545" width="16.28515625" style="9" customWidth="1"/>
    <col min="13546" max="13546" width="17.85546875" style="9" customWidth="1"/>
    <col min="13547" max="13547" width="16.28515625" style="9" customWidth="1"/>
    <col min="13548" max="13548" width="10.28515625" style="9" customWidth="1"/>
    <col min="13549" max="13549" width="9.7109375" style="9" customWidth="1"/>
    <col min="13550" max="13550" width="11.42578125" style="9" customWidth="1"/>
    <col min="13551" max="13551" width="10.85546875" style="9" customWidth="1"/>
    <col min="13552" max="13552" width="14.5703125" style="9" customWidth="1"/>
    <col min="13553" max="13553" width="9.28515625" style="9" customWidth="1"/>
    <col min="13554" max="13554" width="11.42578125" style="9" customWidth="1"/>
    <col min="13555" max="13555" width="10.42578125" style="9" customWidth="1"/>
    <col min="13556" max="13557" width="16.28515625" style="9" customWidth="1"/>
    <col min="13558" max="13558" width="14.140625" style="9" customWidth="1"/>
    <col min="13559" max="13559" width="12" style="9" bestFit="1" customWidth="1"/>
    <col min="13560" max="13560" width="17.85546875" style="9" customWidth="1"/>
    <col min="13561" max="13561" width="9.140625" style="9"/>
    <col min="13562" max="13562" width="10.7109375" style="9" bestFit="1" customWidth="1"/>
    <col min="13563" max="13582" width="9.140625" style="9"/>
    <col min="13583" max="13583" width="10.28515625" style="9" bestFit="1" customWidth="1"/>
    <col min="13584" max="13757" width="9.140625" style="9"/>
    <col min="13758" max="13758" width="15.28515625" style="9" bestFit="1" customWidth="1"/>
    <col min="13759" max="13759" width="17.140625" style="9" customWidth="1"/>
    <col min="13760" max="13760" width="28" style="9" customWidth="1"/>
    <col min="13761" max="13761" width="2.7109375" style="9" bestFit="1" customWidth="1"/>
    <col min="13762" max="13762" width="0" style="9" hidden="1" customWidth="1"/>
    <col min="13763" max="13767" width="12.42578125" style="9" customWidth="1"/>
    <col min="13768" max="13768" width="9.5703125" style="9" customWidth="1"/>
    <col min="13769" max="13769" width="12.42578125" style="9" customWidth="1"/>
    <col min="13770" max="13770" width="9.85546875" style="9" customWidth="1"/>
    <col min="13771" max="13771" width="0" style="9" hidden="1" customWidth="1"/>
    <col min="13772" max="13773" width="11.42578125" style="9" customWidth="1"/>
    <col min="13774" max="13774" width="8.7109375" style="9" customWidth="1"/>
    <col min="13775" max="13775" width="0" style="9" hidden="1" customWidth="1"/>
    <col min="13776" max="13777" width="8" style="9" customWidth="1"/>
    <col min="13778" max="13779" width="9.28515625" style="9" customWidth="1"/>
    <col min="13780" max="13780" width="20.7109375" style="9" customWidth="1"/>
    <col min="13781" max="13781" width="18.42578125" style="9" customWidth="1"/>
    <col min="13782" max="13783" width="12.85546875" style="9" customWidth="1"/>
    <col min="13784" max="13784" width="9" style="9" customWidth="1"/>
    <col min="13785" max="13785" width="10.85546875" style="9" bestFit="1" customWidth="1"/>
    <col min="13786" max="13786" width="11.28515625" style="9" customWidth="1"/>
    <col min="13787" max="13787" width="12.5703125" style="9" customWidth="1"/>
    <col min="13788" max="13788" width="12.42578125" style="9" customWidth="1"/>
    <col min="13789" max="13789" width="5" style="9" customWidth="1"/>
    <col min="13790" max="13790" width="16" style="9" customWidth="1"/>
    <col min="13791" max="13791" width="18.85546875" style="9" customWidth="1"/>
    <col min="13792" max="13792" width="16.28515625" style="9" customWidth="1"/>
    <col min="13793" max="13795" width="10.5703125" style="9" customWidth="1"/>
    <col min="13796" max="13797" width="12.42578125" style="9" customWidth="1"/>
    <col min="13798" max="13798" width="9.85546875" style="9" customWidth="1"/>
    <col min="13799" max="13799" width="16.28515625" style="9" customWidth="1"/>
    <col min="13800" max="13800" width="17.85546875" style="9" customWidth="1"/>
    <col min="13801" max="13801" width="16.28515625" style="9" customWidth="1"/>
    <col min="13802" max="13802" width="17.85546875" style="9" customWidth="1"/>
    <col min="13803" max="13803" width="16.28515625" style="9" customWidth="1"/>
    <col min="13804" max="13804" width="10.28515625" style="9" customWidth="1"/>
    <col min="13805" max="13805" width="9.7109375" style="9" customWidth="1"/>
    <col min="13806" max="13806" width="11.42578125" style="9" customWidth="1"/>
    <col min="13807" max="13807" width="10.85546875" style="9" customWidth="1"/>
    <col min="13808" max="13808" width="14.5703125" style="9" customWidth="1"/>
    <col min="13809" max="13809" width="9.28515625" style="9" customWidth="1"/>
    <col min="13810" max="13810" width="11.42578125" style="9" customWidth="1"/>
    <col min="13811" max="13811" width="10.42578125" style="9" customWidth="1"/>
    <col min="13812" max="13813" width="16.28515625" style="9" customWidth="1"/>
    <col min="13814" max="13814" width="14.140625" style="9" customWidth="1"/>
    <col min="13815" max="13815" width="12" style="9" bestFit="1" customWidth="1"/>
    <col min="13816" max="13816" width="17.85546875" style="9" customWidth="1"/>
    <col min="13817" max="13817" width="9.140625" style="9"/>
    <col min="13818" max="13818" width="10.7109375" style="9" bestFit="1" customWidth="1"/>
    <col min="13819" max="13838" width="9.140625" style="9"/>
    <col min="13839" max="13839" width="10.28515625" style="9" bestFit="1" customWidth="1"/>
    <col min="13840" max="14013" width="9.140625" style="9"/>
    <col min="14014" max="14014" width="15.28515625" style="9" bestFit="1" customWidth="1"/>
    <col min="14015" max="14015" width="17.140625" style="9" customWidth="1"/>
    <col min="14016" max="14016" width="28" style="9" customWidth="1"/>
    <col min="14017" max="14017" width="2.7109375" style="9" bestFit="1" customWidth="1"/>
    <col min="14018" max="14018" width="0" style="9" hidden="1" customWidth="1"/>
    <col min="14019" max="14023" width="12.42578125" style="9" customWidth="1"/>
    <col min="14024" max="14024" width="9.5703125" style="9" customWidth="1"/>
    <col min="14025" max="14025" width="12.42578125" style="9" customWidth="1"/>
    <col min="14026" max="14026" width="9.85546875" style="9" customWidth="1"/>
    <col min="14027" max="14027" width="0" style="9" hidden="1" customWidth="1"/>
    <col min="14028" max="14029" width="11.42578125" style="9" customWidth="1"/>
    <col min="14030" max="14030" width="8.7109375" style="9" customWidth="1"/>
    <col min="14031" max="14031" width="0" style="9" hidden="1" customWidth="1"/>
    <col min="14032" max="14033" width="8" style="9" customWidth="1"/>
    <col min="14034" max="14035" width="9.28515625" style="9" customWidth="1"/>
    <col min="14036" max="14036" width="20.7109375" style="9" customWidth="1"/>
    <col min="14037" max="14037" width="18.42578125" style="9" customWidth="1"/>
    <col min="14038" max="14039" width="12.85546875" style="9" customWidth="1"/>
    <col min="14040" max="14040" width="9" style="9" customWidth="1"/>
    <col min="14041" max="14041" width="10.85546875" style="9" bestFit="1" customWidth="1"/>
    <col min="14042" max="14042" width="11.28515625" style="9" customWidth="1"/>
    <col min="14043" max="14043" width="12.5703125" style="9" customWidth="1"/>
    <col min="14044" max="14044" width="12.42578125" style="9" customWidth="1"/>
    <col min="14045" max="14045" width="5" style="9" customWidth="1"/>
    <col min="14046" max="14046" width="16" style="9" customWidth="1"/>
    <col min="14047" max="14047" width="18.85546875" style="9" customWidth="1"/>
    <col min="14048" max="14048" width="16.28515625" style="9" customWidth="1"/>
    <col min="14049" max="14051" width="10.5703125" style="9" customWidth="1"/>
    <col min="14052" max="14053" width="12.42578125" style="9" customWidth="1"/>
    <col min="14054" max="14054" width="9.85546875" style="9" customWidth="1"/>
    <col min="14055" max="14055" width="16.28515625" style="9" customWidth="1"/>
    <col min="14056" max="14056" width="17.85546875" style="9" customWidth="1"/>
    <col min="14057" max="14057" width="16.28515625" style="9" customWidth="1"/>
    <col min="14058" max="14058" width="17.85546875" style="9" customWidth="1"/>
    <col min="14059" max="14059" width="16.28515625" style="9" customWidth="1"/>
    <col min="14060" max="14060" width="10.28515625" style="9" customWidth="1"/>
    <col min="14061" max="14061" width="9.7109375" style="9" customWidth="1"/>
    <col min="14062" max="14062" width="11.42578125" style="9" customWidth="1"/>
    <col min="14063" max="14063" width="10.85546875" style="9" customWidth="1"/>
    <col min="14064" max="14064" width="14.5703125" style="9" customWidth="1"/>
    <col min="14065" max="14065" width="9.28515625" style="9" customWidth="1"/>
    <col min="14066" max="14066" width="11.42578125" style="9" customWidth="1"/>
    <col min="14067" max="14067" width="10.42578125" style="9" customWidth="1"/>
    <col min="14068" max="14069" width="16.28515625" style="9" customWidth="1"/>
    <col min="14070" max="14070" width="14.140625" style="9" customWidth="1"/>
    <col min="14071" max="14071" width="12" style="9" bestFit="1" customWidth="1"/>
    <col min="14072" max="14072" width="17.85546875" style="9" customWidth="1"/>
    <col min="14073" max="14073" width="9.140625" style="9"/>
    <col min="14074" max="14074" width="10.7109375" style="9" bestFit="1" customWidth="1"/>
    <col min="14075" max="14094" width="9.140625" style="9"/>
    <col min="14095" max="14095" width="10.28515625" style="9" bestFit="1" customWidth="1"/>
    <col min="14096" max="14269" width="9.140625" style="9"/>
    <col min="14270" max="14270" width="15.28515625" style="9" bestFit="1" customWidth="1"/>
    <col min="14271" max="14271" width="17.140625" style="9" customWidth="1"/>
    <col min="14272" max="14272" width="28" style="9" customWidth="1"/>
    <col min="14273" max="14273" width="2.7109375" style="9" bestFit="1" customWidth="1"/>
    <col min="14274" max="14274" width="0" style="9" hidden="1" customWidth="1"/>
    <col min="14275" max="14279" width="12.42578125" style="9" customWidth="1"/>
    <col min="14280" max="14280" width="9.5703125" style="9" customWidth="1"/>
    <col min="14281" max="14281" width="12.42578125" style="9" customWidth="1"/>
    <col min="14282" max="14282" width="9.85546875" style="9" customWidth="1"/>
    <col min="14283" max="14283" width="0" style="9" hidden="1" customWidth="1"/>
    <col min="14284" max="14285" width="11.42578125" style="9" customWidth="1"/>
    <col min="14286" max="14286" width="8.7109375" style="9" customWidth="1"/>
    <col min="14287" max="14287" width="0" style="9" hidden="1" customWidth="1"/>
    <col min="14288" max="14289" width="8" style="9" customWidth="1"/>
    <col min="14290" max="14291" width="9.28515625" style="9" customWidth="1"/>
    <col min="14292" max="14292" width="20.7109375" style="9" customWidth="1"/>
    <col min="14293" max="14293" width="18.42578125" style="9" customWidth="1"/>
    <col min="14294" max="14295" width="12.85546875" style="9" customWidth="1"/>
    <col min="14296" max="14296" width="9" style="9" customWidth="1"/>
    <col min="14297" max="14297" width="10.85546875" style="9" bestFit="1" customWidth="1"/>
    <col min="14298" max="14298" width="11.28515625" style="9" customWidth="1"/>
    <col min="14299" max="14299" width="12.5703125" style="9" customWidth="1"/>
    <col min="14300" max="14300" width="12.42578125" style="9" customWidth="1"/>
    <col min="14301" max="14301" width="5" style="9" customWidth="1"/>
    <col min="14302" max="14302" width="16" style="9" customWidth="1"/>
    <col min="14303" max="14303" width="18.85546875" style="9" customWidth="1"/>
    <col min="14304" max="14304" width="16.28515625" style="9" customWidth="1"/>
    <col min="14305" max="14307" width="10.5703125" style="9" customWidth="1"/>
    <col min="14308" max="14309" width="12.42578125" style="9" customWidth="1"/>
    <col min="14310" max="14310" width="9.85546875" style="9" customWidth="1"/>
    <col min="14311" max="14311" width="16.28515625" style="9" customWidth="1"/>
    <col min="14312" max="14312" width="17.85546875" style="9" customWidth="1"/>
    <col min="14313" max="14313" width="16.28515625" style="9" customWidth="1"/>
    <col min="14314" max="14314" width="17.85546875" style="9" customWidth="1"/>
    <col min="14315" max="14315" width="16.28515625" style="9" customWidth="1"/>
    <col min="14316" max="14316" width="10.28515625" style="9" customWidth="1"/>
    <col min="14317" max="14317" width="9.7109375" style="9" customWidth="1"/>
    <col min="14318" max="14318" width="11.42578125" style="9" customWidth="1"/>
    <col min="14319" max="14319" width="10.85546875" style="9" customWidth="1"/>
    <col min="14320" max="14320" width="14.5703125" style="9" customWidth="1"/>
    <col min="14321" max="14321" width="9.28515625" style="9" customWidth="1"/>
    <col min="14322" max="14322" width="11.42578125" style="9" customWidth="1"/>
    <col min="14323" max="14323" width="10.42578125" style="9" customWidth="1"/>
    <col min="14324" max="14325" width="16.28515625" style="9" customWidth="1"/>
    <col min="14326" max="14326" width="14.140625" style="9" customWidth="1"/>
    <col min="14327" max="14327" width="12" style="9" bestFit="1" customWidth="1"/>
    <col min="14328" max="14328" width="17.85546875" style="9" customWidth="1"/>
    <col min="14329" max="14329" width="9.140625" style="9"/>
    <col min="14330" max="14330" width="10.7109375" style="9" bestFit="1" customWidth="1"/>
    <col min="14331" max="14350" width="9.140625" style="9"/>
    <col min="14351" max="14351" width="10.28515625" style="9" bestFit="1" customWidth="1"/>
    <col min="14352" max="14525" width="9.140625" style="9"/>
    <col min="14526" max="14526" width="15.28515625" style="9" bestFit="1" customWidth="1"/>
    <col min="14527" max="14527" width="17.140625" style="9" customWidth="1"/>
    <col min="14528" max="14528" width="28" style="9" customWidth="1"/>
    <col min="14529" max="14529" width="2.7109375" style="9" bestFit="1" customWidth="1"/>
    <col min="14530" max="14530" width="0" style="9" hidden="1" customWidth="1"/>
    <col min="14531" max="14535" width="12.42578125" style="9" customWidth="1"/>
    <col min="14536" max="14536" width="9.5703125" style="9" customWidth="1"/>
    <col min="14537" max="14537" width="12.42578125" style="9" customWidth="1"/>
    <col min="14538" max="14538" width="9.85546875" style="9" customWidth="1"/>
    <col min="14539" max="14539" width="0" style="9" hidden="1" customWidth="1"/>
    <col min="14540" max="14541" width="11.42578125" style="9" customWidth="1"/>
    <col min="14542" max="14542" width="8.7109375" style="9" customWidth="1"/>
    <col min="14543" max="14543" width="0" style="9" hidden="1" customWidth="1"/>
    <col min="14544" max="14545" width="8" style="9" customWidth="1"/>
    <col min="14546" max="14547" width="9.28515625" style="9" customWidth="1"/>
    <col min="14548" max="14548" width="20.7109375" style="9" customWidth="1"/>
    <col min="14549" max="14549" width="18.42578125" style="9" customWidth="1"/>
    <col min="14550" max="14551" width="12.85546875" style="9" customWidth="1"/>
    <col min="14552" max="14552" width="9" style="9" customWidth="1"/>
    <col min="14553" max="14553" width="10.85546875" style="9" bestFit="1" customWidth="1"/>
    <col min="14554" max="14554" width="11.28515625" style="9" customWidth="1"/>
    <col min="14555" max="14555" width="12.5703125" style="9" customWidth="1"/>
    <col min="14556" max="14556" width="12.42578125" style="9" customWidth="1"/>
    <col min="14557" max="14557" width="5" style="9" customWidth="1"/>
    <col min="14558" max="14558" width="16" style="9" customWidth="1"/>
    <col min="14559" max="14559" width="18.85546875" style="9" customWidth="1"/>
    <col min="14560" max="14560" width="16.28515625" style="9" customWidth="1"/>
    <col min="14561" max="14563" width="10.5703125" style="9" customWidth="1"/>
    <col min="14564" max="14565" width="12.42578125" style="9" customWidth="1"/>
    <col min="14566" max="14566" width="9.85546875" style="9" customWidth="1"/>
    <col min="14567" max="14567" width="16.28515625" style="9" customWidth="1"/>
    <col min="14568" max="14568" width="17.85546875" style="9" customWidth="1"/>
    <col min="14569" max="14569" width="16.28515625" style="9" customWidth="1"/>
    <col min="14570" max="14570" width="17.85546875" style="9" customWidth="1"/>
    <col min="14571" max="14571" width="16.28515625" style="9" customWidth="1"/>
    <col min="14572" max="14572" width="10.28515625" style="9" customWidth="1"/>
    <col min="14573" max="14573" width="9.7109375" style="9" customWidth="1"/>
    <col min="14574" max="14574" width="11.42578125" style="9" customWidth="1"/>
    <col min="14575" max="14575" width="10.85546875" style="9" customWidth="1"/>
    <col min="14576" max="14576" width="14.5703125" style="9" customWidth="1"/>
    <col min="14577" max="14577" width="9.28515625" style="9" customWidth="1"/>
    <col min="14578" max="14578" width="11.42578125" style="9" customWidth="1"/>
    <col min="14579" max="14579" width="10.42578125" style="9" customWidth="1"/>
    <col min="14580" max="14581" width="16.28515625" style="9" customWidth="1"/>
    <col min="14582" max="14582" width="14.140625" style="9" customWidth="1"/>
    <col min="14583" max="14583" width="12" style="9" bestFit="1" customWidth="1"/>
    <col min="14584" max="14584" width="17.85546875" style="9" customWidth="1"/>
    <col min="14585" max="14585" width="9.140625" style="9"/>
    <col min="14586" max="14586" width="10.7109375" style="9" bestFit="1" customWidth="1"/>
    <col min="14587" max="14606" width="9.140625" style="9"/>
    <col min="14607" max="14607" width="10.28515625" style="9" bestFit="1" customWidth="1"/>
    <col min="14608" max="14781" width="9.140625" style="9"/>
    <col min="14782" max="14782" width="15.28515625" style="9" bestFit="1" customWidth="1"/>
    <col min="14783" max="14783" width="17.140625" style="9" customWidth="1"/>
    <col min="14784" max="14784" width="28" style="9" customWidth="1"/>
    <col min="14785" max="14785" width="2.7109375" style="9" bestFit="1" customWidth="1"/>
    <col min="14786" max="14786" width="0" style="9" hidden="1" customWidth="1"/>
    <col min="14787" max="14791" width="12.42578125" style="9" customWidth="1"/>
    <col min="14792" max="14792" width="9.5703125" style="9" customWidth="1"/>
    <col min="14793" max="14793" width="12.42578125" style="9" customWidth="1"/>
    <col min="14794" max="14794" width="9.85546875" style="9" customWidth="1"/>
    <col min="14795" max="14795" width="0" style="9" hidden="1" customWidth="1"/>
    <col min="14796" max="14797" width="11.42578125" style="9" customWidth="1"/>
    <col min="14798" max="14798" width="8.7109375" style="9" customWidth="1"/>
    <col min="14799" max="14799" width="0" style="9" hidden="1" customWidth="1"/>
    <col min="14800" max="14801" width="8" style="9" customWidth="1"/>
    <col min="14802" max="14803" width="9.28515625" style="9" customWidth="1"/>
    <col min="14804" max="14804" width="20.7109375" style="9" customWidth="1"/>
    <col min="14805" max="14805" width="18.42578125" style="9" customWidth="1"/>
    <col min="14806" max="14807" width="12.85546875" style="9" customWidth="1"/>
    <col min="14808" max="14808" width="9" style="9" customWidth="1"/>
    <col min="14809" max="14809" width="10.85546875" style="9" bestFit="1" customWidth="1"/>
    <col min="14810" max="14810" width="11.28515625" style="9" customWidth="1"/>
    <col min="14811" max="14811" width="12.5703125" style="9" customWidth="1"/>
    <col min="14812" max="14812" width="12.42578125" style="9" customWidth="1"/>
    <col min="14813" max="14813" width="5" style="9" customWidth="1"/>
    <col min="14814" max="14814" width="16" style="9" customWidth="1"/>
    <col min="14815" max="14815" width="18.85546875" style="9" customWidth="1"/>
    <col min="14816" max="14816" width="16.28515625" style="9" customWidth="1"/>
    <col min="14817" max="14819" width="10.5703125" style="9" customWidth="1"/>
    <col min="14820" max="14821" width="12.42578125" style="9" customWidth="1"/>
    <col min="14822" max="14822" width="9.85546875" style="9" customWidth="1"/>
    <col min="14823" max="14823" width="16.28515625" style="9" customWidth="1"/>
    <col min="14824" max="14824" width="17.85546875" style="9" customWidth="1"/>
    <col min="14825" max="14825" width="16.28515625" style="9" customWidth="1"/>
    <col min="14826" max="14826" width="17.85546875" style="9" customWidth="1"/>
    <col min="14827" max="14827" width="16.28515625" style="9" customWidth="1"/>
    <col min="14828" max="14828" width="10.28515625" style="9" customWidth="1"/>
    <col min="14829" max="14829" width="9.7109375" style="9" customWidth="1"/>
    <col min="14830" max="14830" width="11.42578125" style="9" customWidth="1"/>
    <col min="14831" max="14831" width="10.85546875" style="9" customWidth="1"/>
    <col min="14832" max="14832" width="14.5703125" style="9" customWidth="1"/>
    <col min="14833" max="14833" width="9.28515625" style="9" customWidth="1"/>
    <col min="14834" max="14834" width="11.42578125" style="9" customWidth="1"/>
    <col min="14835" max="14835" width="10.42578125" style="9" customWidth="1"/>
    <col min="14836" max="14837" width="16.28515625" style="9" customWidth="1"/>
    <col min="14838" max="14838" width="14.140625" style="9" customWidth="1"/>
    <col min="14839" max="14839" width="12" style="9" bestFit="1" customWidth="1"/>
    <col min="14840" max="14840" width="17.85546875" style="9" customWidth="1"/>
    <col min="14841" max="14841" width="9.140625" style="9"/>
    <col min="14842" max="14842" width="10.7109375" style="9" bestFit="1" customWidth="1"/>
    <col min="14843" max="14862" width="9.140625" style="9"/>
    <col min="14863" max="14863" width="10.28515625" style="9" bestFit="1" customWidth="1"/>
    <col min="14864" max="15037" width="9.140625" style="9"/>
    <col min="15038" max="15038" width="15.28515625" style="9" bestFit="1" customWidth="1"/>
    <col min="15039" max="15039" width="17.140625" style="9" customWidth="1"/>
    <col min="15040" max="15040" width="28" style="9" customWidth="1"/>
    <col min="15041" max="15041" width="2.7109375" style="9" bestFit="1" customWidth="1"/>
    <col min="15042" max="15042" width="0" style="9" hidden="1" customWidth="1"/>
    <col min="15043" max="15047" width="12.42578125" style="9" customWidth="1"/>
    <col min="15048" max="15048" width="9.5703125" style="9" customWidth="1"/>
    <col min="15049" max="15049" width="12.42578125" style="9" customWidth="1"/>
    <col min="15050" max="15050" width="9.85546875" style="9" customWidth="1"/>
    <col min="15051" max="15051" width="0" style="9" hidden="1" customWidth="1"/>
    <col min="15052" max="15053" width="11.42578125" style="9" customWidth="1"/>
    <col min="15054" max="15054" width="8.7109375" style="9" customWidth="1"/>
    <col min="15055" max="15055" width="0" style="9" hidden="1" customWidth="1"/>
    <col min="15056" max="15057" width="8" style="9" customWidth="1"/>
    <col min="15058" max="15059" width="9.28515625" style="9" customWidth="1"/>
    <col min="15060" max="15060" width="20.7109375" style="9" customWidth="1"/>
    <col min="15061" max="15061" width="18.42578125" style="9" customWidth="1"/>
    <col min="15062" max="15063" width="12.85546875" style="9" customWidth="1"/>
    <col min="15064" max="15064" width="9" style="9" customWidth="1"/>
    <col min="15065" max="15065" width="10.85546875" style="9" bestFit="1" customWidth="1"/>
    <col min="15066" max="15066" width="11.28515625" style="9" customWidth="1"/>
    <col min="15067" max="15067" width="12.5703125" style="9" customWidth="1"/>
    <col min="15068" max="15068" width="12.42578125" style="9" customWidth="1"/>
    <col min="15069" max="15069" width="5" style="9" customWidth="1"/>
    <col min="15070" max="15070" width="16" style="9" customWidth="1"/>
    <col min="15071" max="15071" width="18.85546875" style="9" customWidth="1"/>
    <col min="15072" max="15072" width="16.28515625" style="9" customWidth="1"/>
    <col min="15073" max="15075" width="10.5703125" style="9" customWidth="1"/>
    <col min="15076" max="15077" width="12.42578125" style="9" customWidth="1"/>
    <col min="15078" max="15078" width="9.85546875" style="9" customWidth="1"/>
    <col min="15079" max="15079" width="16.28515625" style="9" customWidth="1"/>
    <col min="15080" max="15080" width="17.85546875" style="9" customWidth="1"/>
    <col min="15081" max="15081" width="16.28515625" style="9" customWidth="1"/>
    <col min="15082" max="15082" width="17.85546875" style="9" customWidth="1"/>
    <col min="15083" max="15083" width="16.28515625" style="9" customWidth="1"/>
    <col min="15084" max="15084" width="10.28515625" style="9" customWidth="1"/>
    <col min="15085" max="15085" width="9.7109375" style="9" customWidth="1"/>
    <col min="15086" max="15086" width="11.42578125" style="9" customWidth="1"/>
    <col min="15087" max="15087" width="10.85546875" style="9" customWidth="1"/>
    <col min="15088" max="15088" width="14.5703125" style="9" customWidth="1"/>
    <col min="15089" max="15089" width="9.28515625" style="9" customWidth="1"/>
    <col min="15090" max="15090" width="11.42578125" style="9" customWidth="1"/>
    <col min="15091" max="15091" width="10.42578125" style="9" customWidth="1"/>
    <col min="15092" max="15093" width="16.28515625" style="9" customWidth="1"/>
    <col min="15094" max="15094" width="14.140625" style="9" customWidth="1"/>
    <col min="15095" max="15095" width="12" style="9" bestFit="1" customWidth="1"/>
    <col min="15096" max="15096" width="17.85546875" style="9" customWidth="1"/>
    <col min="15097" max="15097" width="9.140625" style="9"/>
    <col min="15098" max="15098" width="10.7109375" style="9" bestFit="1" customWidth="1"/>
    <col min="15099" max="15118" width="9.140625" style="9"/>
    <col min="15119" max="15119" width="10.28515625" style="9" bestFit="1" customWidth="1"/>
    <col min="15120" max="15293" width="9.140625" style="9"/>
    <col min="15294" max="15294" width="15.28515625" style="9" bestFit="1" customWidth="1"/>
    <col min="15295" max="15295" width="17.140625" style="9" customWidth="1"/>
    <col min="15296" max="15296" width="28" style="9" customWidth="1"/>
    <col min="15297" max="15297" width="2.7109375" style="9" bestFit="1" customWidth="1"/>
    <col min="15298" max="15298" width="0" style="9" hidden="1" customWidth="1"/>
    <col min="15299" max="15303" width="12.42578125" style="9" customWidth="1"/>
    <col min="15304" max="15304" width="9.5703125" style="9" customWidth="1"/>
    <col min="15305" max="15305" width="12.42578125" style="9" customWidth="1"/>
    <col min="15306" max="15306" width="9.85546875" style="9" customWidth="1"/>
    <col min="15307" max="15307" width="0" style="9" hidden="1" customWidth="1"/>
    <col min="15308" max="15309" width="11.42578125" style="9" customWidth="1"/>
    <col min="15310" max="15310" width="8.7109375" style="9" customWidth="1"/>
    <col min="15311" max="15311" width="0" style="9" hidden="1" customWidth="1"/>
    <col min="15312" max="15313" width="8" style="9" customWidth="1"/>
    <col min="15314" max="15315" width="9.28515625" style="9" customWidth="1"/>
    <col min="15316" max="15316" width="20.7109375" style="9" customWidth="1"/>
    <col min="15317" max="15317" width="18.42578125" style="9" customWidth="1"/>
    <col min="15318" max="15319" width="12.85546875" style="9" customWidth="1"/>
    <col min="15320" max="15320" width="9" style="9" customWidth="1"/>
    <col min="15321" max="15321" width="10.85546875" style="9" bestFit="1" customWidth="1"/>
    <col min="15322" max="15322" width="11.28515625" style="9" customWidth="1"/>
    <col min="15323" max="15323" width="12.5703125" style="9" customWidth="1"/>
    <col min="15324" max="15324" width="12.42578125" style="9" customWidth="1"/>
    <col min="15325" max="15325" width="5" style="9" customWidth="1"/>
    <col min="15326" max="15326" width="16" style="9" customWidth="1"/>
    <col min="15327" max="15327" width="18.85546875" style="9" customWidth="1"/>
    <col min="15328" max="15328" width="16.28515625" style="9" customWidth="1"/>
    <col min="15329" max="15331" width="10.5703125" style="9" customWidth="1"/>
    <col min="15332" max="15333" width="12.42578125" style="9" customWidth="1"/>
    <col min="15334" max="15334" width="9.85546875" style="9" customWidth="1"/>
    <col min="15335" max="15335" width="16.28515625" style="9" customWidth="1"/>
    <col min="15336" max="15336" width="17.85546875" style="9" customWidth="1"/>
    <col min="15337" max="15337" width="16.28515625" style="9" customWidth="1"/>
    <col min="15338" max="15338" width="17.85546875" style="9" customWidth="1"/>
    <col min="15339" max="15339" width="16.28515625" style="9" customWidth="1"/>
    <col min="15340" max="15340" width="10.28515625" style="9" customWidth="1"/>
    <col min="15341" max="15341" width="9.7109375" style="9" customWidth="1"/>
    <col min="15342" max="15342" width="11.42578125" style="9" customWidth="1"/>
    <col min="15343" max="15343" width="10.85546875" style="9" customWidth="1"/>
    <col min="15344" max="15344" width="14.5703125" style="9" customWidth="1"/>
    <col min="15345" max="15345" width="9.28515625" style="9" customWidth="1"/>
    <col min="15346" max="15346" width="11.42578125" style="9" customWidth="1"/>
    <col min="15347" max="15347" width="10.42578125" style="9" customWidth="1"/>
    <col min="15348" max="15349" width="16.28515625" style="9" customWidth="1"/>
    <col min="15350" max="15350" width="14.140625" style="9" customWidth="1"/>
    <col min="15351" max="15351" width="12" style="9" bestFit="1" customWidth="1"/>
    <col min="15352" max="15352" width="17.85546875" style="9" customWidth="1"/>
    <col min="15353" max="15353" width="9.140625" style="9"/>
    <col min="15354" max="15354" width="10.7109375" style="9" bestFit="1" customWidth="1"/>
    <col min="15355" max="15374" width="9.140625" style="9"/>
    <col min="15375" max="15375" width="10.28515625" style="9" bestFit="1" customWidth="1"/>
    <col min="15376" max="15549" width="9.140625" style="9"/>
    <col min="15550" max="15550" width="15.28515625" style="9" bestFit="1" customWidth="1"/>
    <col min="15551" max="15551" width="17.140625" style="9" customWidth="1"/>
    <col min="15552" max="15552" width="28" style="9" customWidth="1"/>
    <col min="15553" max="15553" width="2.7109375" style="9" bestFit="1" customWidth="1"/>
    <col min="15554" max="15554" width="0" style="9" hidden="1" customWidth="1"/>
    <col min="15555" max="15559" width="12.42578125" style="9" customWidth="1"/>
    <col min="15560" max="15560" width="9.5703125" style="9" customWidth="1"/>
    <col min="15561" max="15561" width="12.42578125" style="9" customWidth="1"/>
    <col min="15562" max="15562" width="9.85546875" style="9" customWidth="1"/>
    <col min="15563" max="15563" width="0" style="9" hidden="1" customWidth="1"/>
    <col min="15564" max="15565" width="11.42578125" style="9" customWidth="1"/>
    <col min="15566" max="15566" width="8.7109375" style="9" customWidth="1"/>
    <col min="15567" max="15567" width="0" style="9" hidden="1" customWidth="1"/>
    <col min="15568" max="15569" width="8" style="9" customWidth="1"/>
    <col min="15570" max="15571" width="9.28515625" style="9" customWidth="1"/>
    <col min="15572" max="15572" width="20.7109375" style="9" customWidth="1"/>
    <col min="15573" max="15573" width="18.42578125" style="9" customWidth="1"/>
    <col min="15574" max="15575" width="12.85546875" style="9" customWidth="1"/>
    <col min="15576" max="15576" width="9" style="9" customWidth="1"/>
    <col min="15577" max="15577" width="10.85546875" style="9" bestFit="1" customWidth="1"/>
    <col min="15578" max="15578" width="11.28515625" style="9" customWidth="1"/>
    <col min="15579" max="15579" width="12.5703125" style="9" customWidth="1"/>
    <col min="15580" max="15580" width="12.42578125" style="9" customWidth="1"/>
    <col min="15581" max="15581" width="5" style="9" customWidth="1"/>
    <col min="15582" max="15582" width="16" style="9" customWidth="1"/>
    <col min="15583" max="15583" width="18.85546875" style="9" customWidth="1"/>
    <col min="15584" max="15584" width="16.28515625" style="9" customWidth="1"/>
    <col min="15585" max="15587" width="10.5703125" style="9" customWidth="1"/>
    <col min="15588" max="15589" width="12.42578125" style="9" customWidth="1"/>
    <col min="15590" max="15590" width="9.85546875" style="9" customWidth="1"/>
    <col min="15591" max="15591" width="16.28515625" style="9" customWidth="1"/>
    <col min="15592" max="15592" width="17.85546875" style="9" customWidth="1"/>
    <col min="15593" max="15593" width="16.28515625" style="9" customWidth="1"/>
    <col min="15594" max="15594" width="17.85546875" style="9" customWidth="1"/>
    <col min="15595" max="15595" width="16.28515625" style="9" customWidth="1"/>
    <col min="15596" max="15596" width="10.28515625" style="9" customWidth="1"/>
    <col min="15597" max="15597" width="9.7109375" style="9" customWidth="1"/>
    <col min="15598" max="15598" width="11.42578125" style="9" customWidth="1"/>
    <col min="15599" max="15599" width="10.85546875" style="9" customWidth="1"/>
    <col min="15600" max="15600" width="14.5703125" style="9" customWidth="1"/>
    <col min="15601" max="15601" width="9.28515625" style="9" customWidth="1"/>
    <col min="15602" max="15602" width="11.42578125" style="9" customWidth="1"/>
    <col min="15603" max="15603" width="10.42578125" style="9" customWidth="1"/>
    <col min="15604" max="15605" width="16.28515625" style="9" customWidth="1"/>
    <col min="15606" max="15606" width="14.140625" style="9" customWidth="1"/>
    <col min="15607" max="15607" width="12" style="9" bestFit="1" customWidth="1"/>
    <col min="15608" max="15608" width="17.85546875" style="9" customWidth="1"/>
    <col min="15609" max="15609" width="9.140625" style="9"/>
    <col min="15610" max="15610" width="10.7109375" style="9" bestFit="1" customWidth="1"/>
    <col min="15611" max="15630" width="9.140625" style="9"/>
    <col min="15631" max="15631" width="10.28515625" style="9" bestFit="1" customWidth="1"/>
    <col min="15632" max="15805" width="9.140625" style="9"/>
    <col min="15806" max="15806" width="15.28515625" style="9" bestFit="1" customWidth="1"/>
    <col min="15807" max="15807" width="17.140625" style="9" customWidth="1"/>
    <col min="15808" max="15808" width="28" style="9" customWidth="1"/>
    <col min="15809" max="15809" width="2.7109375" style="9" bestFit="1" customWidth="1"/>
    <col min="15810" max="15810" width="0" style="9" hidden="1" customWidth="1"/>
    <col min="15811" max="15815" width="12.42578125" style="9" customWidth="1"/>
    <col min="15816" max="15816" width="9.5703125" style="9" customWidth="1"/>
    <col min="15817" max="15817" width="12.42578125" style="9" customWidth="1"/>
    <col min="15818" max="15818" width="9.85546875" style="9" customWidth="1"/>
    <col min="15819" max="15819" width="0" style="9" hidden="1" customWidth="1"/>
    <col min="15820" max="15821" width="11.42578125" style="9" customWidth="1"/>
    <col min="15822" max="15822" width="8.7109375" style="9" customWidth="1"/>
    <col min="15823" max="15823" width="0" style="9" hidden="1" customWidth="1"/>
    <col min="15824" max="15825" width="8" style="9" customWidth="1"/>
    <col min="15826" max="15827" width="9.28515625" style="9" customWidth="1"/>
    <col min="15828" max="15828" width="20.7109375" style="9" customWidth="1"/>
    <col min="15829" max="15829" width="18.42578125" style="9" customWidth="1"/>
    <col min="15830" max="15831" width="12.85546875" style="9" customWidth="1"/>
    <col min="15832" max="15832" width="9" style="9" customWidth="1"/>
    <col min="15833" max="15833" width="10.85546875" style="9" bestFit="1" customWidth="1"/>
    <col min="15834" max="15834" width="11.28515625" style="9" customWidth="1"/>
    <col min="15835" max="15835" width="12.5703125" style="9" customWidth="1"/>
    <col min="15836" max="15836" width="12.42578125" style="9" customWidth="1"/>
    <col min="15837" max="15837" width="5" style="9" customWidth="1"/>
    <col min="15838" max="15838" width="16" style="9" customWidth="1"/>
    <col min="15839" max="15839" width="18.85546875" style="9" customWidth="1"/>
    <col min="15840" max="15840" width="16.28515625" style="9" customWidth="1"/>
    <col min="15841" max="15843" width="10.5703125" style="9" customWidth="1"/>
    <col min="15844" max="15845" width="12.42578125" style="9" customWidth="1"/>
    <col min="15846" max="15846" width="9.85546875" style="9" customWidth="1"/>
    <col min="15847" max="15847" width="16.28515625" style="9" customWidth="1"/>
    <col min="15848" max="15848" width="17.85546875" style="9" customWidth="1"/>
    <col min="15849" max="15849" width="16.28515625" style="9" customWidth="1"/>
    <col min="15850" max="15850" width="17.85546875" style="9" customWidth="1"/>
    <col min="15851" max="15851" width="16.28515625" style="9" customWidth="1"/>
    <col min="15852" max="15852" width="10.28515625" style="9" customWidth="1"/>
    <col min="15853" max="15853" width="9.7109375" style="9" customWidth="1"/>
    <col min="15854" max="15854" width="11.42578125" style="9" customWidth="1"/>
    <col min="15855" max="15855" width="10.85546875" style="9" customWidth="1"/>
    <col min="15856" max="15856" width="14.5703125" style="9" customWidth="1"/>
    <col min="15857" max="15857" width="9.28515625" style="9" customWidth="1"/>
    <col min="15858" max="15858" width="11.42578125" style="9" customWidth="1"/>
    <col min="15859" max="15859" width="10.42578125" style="9" customWidth="1"/>
    <col min="15860" max="15861" width="16.28515625" style="9" customWidth="1"/>
    <col min="15862" max="15862" width="14.140625" style="9" customWidth="1"/>
    <col min="15863" max="15863" width="12" style="9" bestFit="1" customWidth="1"/>
    <col min="15864" max="15864" width="17.85546875" style="9" customWidth="1"/>
    <col min="15865" max="15865" width="9.140625" style="9"/>
    <col min="15866" max="15866" width="10.7109375" style="9" bestFit="1" customWidth="1"/>
    <col min="15867" max="15886" width="9.140625" style="9"/>
    <col min="15887" max="15887" width="10.28515625" style="9" bestFit="1" customWidth="1"/>
    <col min="15888" max="16061" width="9.140625" style="9"/>
    <col min="16062" max="16062" width="15.28515625" style="9" bestFit="1" customWidth="1"/>
    <col min="16063" max="16063" width="17.140625" style="9" customWidth="1"/>
    <col min="16064" max="16064" width="28" style="9" customWidth="1"/>
    <col min="16065" max="16065" width="2.7109375" style="9" bestFit="1" customWidth="1"/>
    <col min="16066" max="16066" width="0" style="9" hidden="1" customWidth="1"/>
    <col min="16067" max="16071" width="12.42578125" style="9" customWidth="1"/>
    <col min="16072" max="16072" width="9.5703125" style="9" customWidth="1"/>
    <col min="16073" max="16073" width="12.42578125" style="9" customWidth="1"/>
    <col min="16074" max="16074" width="9.85546875" style="9" customWidth="1"/>
    <col min="16075" max="16075" width="0" style="9" hidden="1" customWidth="1"/>
    <col min="16076" max="16077" width="11.42578125" style="9" customWidth="1"/>
    <col min="16078" max="16078" width="8.7109375" style="9" customWidth="1"/>
    <col min="16079" max="16079" width="0" style="9" hidden="1" customWidth="1"/>
    <col min="16080" max="16081" width="8" style="9" customWidth="1"/>
    <col min="16082" max="16083" width="9.28515625" style="9" customWidth="1"/>
    <col min="16084" max="16084" width="20.7109375" style="9" customWidth="1"/>
    <col min="16085" max="16085" width="18.42578125" style="9" customWidth="1"/>
    <col min="16086" max="16087" width="12.85546875" style="9" customWidth="1"/>
    <col min="16088" max="16088" width="9" style="9" customWidth="1"/>
    <col min="16089" max="16089" width="10.85546875" style="9" bestFit="1" customWidth="1"/>
    <col min="16090" max="16090" width="11.28515625" style="9" customWidth="1"/>
    <col min="16091" max="16091" width="12.5703125" style="9" customWidth="1"/>
    <col min="16092" max="16092" width="12.42578125" style="9" customWidth="1"/>
    <col min="16093" max="16093" width="5" style="9" customWidth="1"/>
    <col min="16094" max="16094" width="16" style="9" customWidth="1"/>
    <col min="16095" max="16095" width="18.85546875" style="9" customWidth="1"/>
    <col min="16096" max="16096" width="16.28515625" style="9" customWidth="1"/>
    <col min="16097" max="16099" width="10.5703125" style="9" customWidth="1"/>
    <col min="16100" max="16101" width="12.42578125" style="9" customWidth="1"/>
    <col min="16102" max="16102" width="9.85546875" style="9" customWidth="1"/>
    <col min="16103" max="16103" width="16.28515625" style="9" customWidth="1"/>
    <col min="16104" max="16104" width="17.85546875" style="9" customWidth="1"/>
    <col min="16105" max="16105" width="16.28515625" style="9" customWidth="1"/>
    <col min="16106" max="16106" width="17.85546875" style="9" customWidth="1"/>
    <col min="16107" max="16107" width="16.28515625" style="9" customWidth="1"/>
    <col min="16108" max="16108" width="10.28515625" style="9" customWidth="1"/>
    <col min="16109" max="16109" width="9.7109375" style="9" customWidth="1"/>
    <col min="16110" max="16110" width="11.42578125" style="9" customWidth="1"/>
    <col min="16111" max="16111" width="10.85546875" style="9" customWidth="1"/>
    <col min="16112" max="16112" width="14.5703125" style="9" customWidth="1"/>
    <col min="16113" max="16113" width="9.28515625" style="9" customWidth="1"/>
    <col min="16114" max="16114" width="11.42578125" style="9" customWidth="1"/>
    <col min="16115" max="16115" width="10.42578125" style="9" customWidth="1"/>
    <col min="16116" max="16117" width="16.28515625" style="9" customWidth="1"/>
    <col min="16118" max="16118" width="14.140625" style="9" customWidth="1"/>
    <col min="16119" max="16119" width="12" style="9" bestFit="1" customWidth="1"/>
    <col min="16120" max="16120" width="17.85546875" style="9" customWidth="1"/>
    <col min="16121" max="16121" width="9.140625" style="9"/>
    <col min="16122" max="16122" width="10.7109375" style="9" bestFit="1" customWidth="1"/>
    <col min="16123" max="16142" width="9.140625" style="9"/>
    <col min="16143" max="16143" width="10.28515625" style="9" bestFit="1" customWidth="1"/>
    <col min="16144" max="16384" width="9.140625" style="9"/>
  </cols>
  <sheetData>
    <row r="1" spans="1:8" ht="13.5" thickBot="1" x14ac:dyDescent="0.25">
      <c r="C1" s="168" t="s">
        <v>82</v>
      </c>
      <c r="D1" s="168" t="s">
        <v>83</v>
      </c>
      <c r="E1" s="168" t="s">
        <v>84</v>
      </c>
      <c r="F1" s="168" t="s">
        <v>85</v>
      </c>
      <c r="G1" s="168" t="s">
        <v>86</v>
      </c>
      <c r="H1" s="168" t="s">
        <v>87</v>
      </c>
    </row>
    <row r="2" spans="1:8" ht="14.25" thickTop="1" thickBot="1" x14ac:dyDescent="0.25">
      <c r="A2" s="11"/>
      <c r="B2" s="11" t="s">
        <v>162</v>
      </c>
      <c r="C2" s="169" t="s">
        <v>156</v>
      </c>
      <c r="D2" s="169" t="s">
        <v>89</v>
      </c>
      <c r="E2" s="169" t="s">
        <v>90</v>
      </c>
      <c r="F2" s="169" t="s">
        <v>91</v>
      </c>
      <c r="G2" s="169" t="s">
        <v>92</v>
      </c>
      <c r="H2" s="169" t="s">
        <v>93</v>
      </c>
    </row>
    <row r="3" spans="1:8" ht="13.5" thickTop="1" x14ac:dyDescent="0.2">
      <c r="A3" s="11"/>
      <c r="B3" s="11" t="s">
        <v>19</v>
      </c>
      <c r="C3" s="178">
        <v>120</v>
      </c>
      <c r="D3" s="178">
        <v>168</v>
      </c>
      <c r="E3" s="178">
        <v>216</v>
      </c>
      <c r="F3" s="178">
        <v>264</v>
      </c>
      <c r="G3" s="178">
        <v>312</v>
      </c>
      <c r="H3" s="178">
        <v>360</v>
      </c>
    </row>
    <row r="4" spans="1:8" x14ac:dyDescent="0.2">
      <c r="A4" s="11"/>
      <c r="B4" s="11"/>
      <c r="C4" s="178"/>
      <c r="D4" s="178"/>
      <c r="E4" s="178"/>
      <c r="F4" s="178"/>
      <c r="G4" s="178"/>
      <c r="H4" s="178"/>
    </row>
    <row r="5" spans="1:8" s="10" customFormat="1" x14ac:dyDescent="0.2">
      <c r="A5" s="13" t="s">
        <v>163</v>
      </c>
      <c r="B5" s="13" t="s">
        <v>163</v>
      </c>
      <c r="C5" s="12">
        <v>35000</v>
      </c>
      <c r="D5" s="179">
        <f>C5*1.03</f>
        <v>36050</v>
      </c>
      <c r="E5" s="179">
        <f t="shared" ref="E5:H5" si="0">D5*1.03</f>
        <v>37131.5</v>
      </c>
      <c r="F5" s="179">
        <f t="shared" si="0"/>
        <v>38245.445</v>
      </c>
      <c r="G5" s="179">
        <f t="shared" si="0"/>
        <v>39392.808349999999</v>
      </c>
      <c r="H5" s="179">
        <f t="shared" si="0"/>
        <v>40574.5926005</v>
      </c>
    </row>
    <row r="6" spans="1:8" s="10" customFormat="1" x14ac:dyDescent="0.2">
      <c r="A6" s="13" t="s">
        <v>164</v>
      </c>
      <c r="B6" s="13" t="s">
        <v>164</v>
      </c>
      <c r="C6" s="12">
        <v>30000</v>
      </c>
      <c r="D6" s="179">
        <f t="shared" ref="D6:H20" si="1">C6*1.03</f>
        <v>30900</v>
      </c>
      <c r="E6" s="179">
        <f t="shared" si="1"/>
        <v>31827</v>
      </c>
      <c r="F6" s="179">
        <f t="shared" si="1"/>
        <v>32781.81</v>
      </c>
      <c r="G6" s="179">
        <f t="shared" si="1"/>
        <v>33765.264299999995</v>
      </c>
      <c r="H6" s="179">
        <f t="shared" si="1"/>
        <v>34778.222228999999</v>
      </c>
    </row>
    <row r="7" spans="1:8" s="10" customFormat="1" ht="13.5" thickBot="1" x14ac:dyDescent="0.25">
      <c r="A7" s="13" t="s">
        <v>165</v>
      </c>
      <c r="B7" s="13" t="s">
        <v>165</v>
      </c>
      <c r="C7" s="12">
        <v>20000</v>
      </c>
      <c r="D7" s="179">
        <f t="shared" si="1"/>
        <v>20600</v>
      </c>
      <c r="E7" s="179">
        <f t="shared" si="1"/>
        <v>21218</v>
      </c>
      <c r="F7" s="179">
        <f t="shared" si="1"/>
        <v>21854.54</v>
      </c>
      <c r="G7" s="179">
        <f t="shared" si="1"/>
        <v>22510.176200000002</v>
      </c>
      <c r="H7" s="179">
        <f t="shared" si="1"/>
        <v>23185.481486000001</v>
      </c>
    </row>
    <row r="8" spans="1:8" s="10" customFormat="1" ht="13.5" thickBot="1" x14ac:dyDescent="0.25">
      <c r="A8" s="13" t="s">
        <v>166</v>
      </c>
      <c r="B8" s="18" t="s">
        <v>167</v>
      </c>
      <c r="C8" s="12">
        <v>50000</v>
      </c>
      <c r="D8" s="179">
        <f t="shared" si="1"/>
        <v>51500</v>
      </c>
      <c r="E8" s="179">
        <f t="shared" si="1"/>
        <v>53045</v>
      </c>
      <c r="F8" s="179">
        <f t="shared" si="1"/>
        <v>54636.35</v>
      </c>
      <c r="G8" s="179">
        <f t="shared" si="1"/>
        <v>56275.440499999997</v>
      </c>
      <c r="H8" s="179">
        <f t="shared" si="1"/>
        <v>57963.703714999996</v>
      </c>
    </row>
    <row r="9" spans="1:8" s="10" customFormat="1" ht="13.5" thickBot="1" x14ac:dyDescent="0.25">
      <c r="A9" s="13" t="s">
        <v>166</v>
      </c>
      <c r="B9" s="18" t="s">
        <v>168</v>
      </c>
      <c r="C9" s="12">
        <v>40000</v>
      </c>
      <c r="D9" s="179">
        <f t="shared" si="1"/>
        <v>41200</v>
      </c>
      <c r="E9" s="179">
        <f t="shared" si="1"/>
        <v>42436</v>
      </c>
      <c r="F9" s="179">
        <f t="shared" si="1"/>
        <v>43709.08</v>
      </c>
      <c r="G9" s="179">
        <f t="shared" si="1"/>
        <v>45020.352400000003</v>
      </c>
      <c r="H9" s="179">
        <f t="shared" si="1"/>
        <v>46370.962972000001</v>
      </c>
    </row>
    <row r="10" spans="1:8" s="10" customFormat="1" ht="13.5" customHeight="1" thickBot="1" x14ac:dyDescent="0.25">
      <c r="A10" s="13" t="s">
        <v>169</v>
      </c>
      <c r="B10" s="18" t="s">
        <v>167</v>
      </c>
      <c r="C10" s="12">
        <v>50000</v>
      </c>
      <c r="D10" s="179">
        <f t="shared" si="1"/>
        <v>51500</v>
      </c>
      <c r="E10" s="179">
        <f t="shared" si="1"/>
        <v>53045</v>
      </c>
      <c r="F10" s="179">
        <f t="shared" si="1"/>
        <v>54636.35</v>
      </c>
      <c r="G10" s="179">
        <f t="shared" si="1"/>
        <v>56275.440499999997</v>
      </c>
      <c r="H10" s="179">
        <f t="shared" si="1"/>
        <v>57963.703714999996</v>
      </c>
    </row>
    <row r="11" spans="1:8" s="10" customFormat="1" ht="13.5" thickBot="1" x14ac:dyDescent="0.25">
      <c r="A11" s="13" t="s">
        <v>169</v>
      </c>
      <c r="B11" s="18" t="s">
        <v>168</v>
      </c>
      <c r="C11" s="12">
        <v>40000</v>
      </c>
      <c r="D11" s="179">
        <f t="shared" si="1"/>
        <v>41200</v>
      </c>
      <c r="E11" s="179">
        <f t="shared" si="1"/>
        <v>42436</v>
      </c>
      <c r="F11" s="179">
        <f t="shared" si="1"/>
        <v>43709.08</v>
      </c>
      <c r="G11" s="179">
        <f t="shared" si="1"/>
        <v>45020.352400000003</v>
      </c>
      <c r="H11" s="179">
        <f t="shared" si="1"/>
        <v>46370.962972000001</v>
      </c>
    </row>
    <row r="12" spans="1:8" s="10" customFormat="1" ht="13.5" customHeight="1" thickBot="1" x14ac:dyDescent="0.25">
      <c r="A12" s="9" t="s">
        <v>170</v>
      </c>
      <c r="B12" s="18" t="s">
        <v>167</v>
      </c>
      <c r="C12" s="12">
        <v>50000</v>
      </c>
      <c r="D12" s="179">
        <f t="shared" si="1"/>
        <v>51500</v>
      </c>
      <c r="E12" s="179">
        <f t="shared" si="1"/>
        <v>53045</v>
      </c>
      <c r="F12" s="179">
        <f t="shared" si="1"/>
        <v>54636.35</v>
      </c>
      <c r="G12" s="179">
        <f t="shared" si="1"/>
        <v>56275.440499999997</v>
      </c>
      <c r="H12" s="179">
        <f t="shared" si="1"/>
        <v>57963.703714999996</v>
      </c>
    </row>
    <row r="13" spans="1:8" s="10" customFormat="1" ht="13.5" customHeight="1" thickBot="1" x14ac:dyDescent="0.25">
      <c r="A13" s="9" t="s">
        <v>170</v>
      </c>
      <c r="B13" s="18" t="s">
        <v>168</v>
      </c>
      <c r="C13" s="12">
        <v>40000</v>
      </c>
      <c r="D13" s="179">
        <f t="shared" si="1"/>
        <v>41200</v>
      </c>
      <c r="E13" s="179">
        <f t="shared" si="1"/>
        <v>42436</v>
      </c>
      <c r="F13" s="179">
        <f t="shared" si="1"/>
        <v>43709.08</v>
      </c>
      <c r="G13" s="179">
        <f t="shared" si="1"/>
        <v>45020.352400000003</v>
      </c>
      <c r="H13" s="179">
        <f t="shared" si="1"/>
        <v>46370.962972000001</v>
      </c>
    </row>
    <row r="14" spans="1:8" s="10" customFormat="1" ht="13.5" customHeight="1" thickBot="1" x14ac:dyDescent="0.25">
      <c r="A14" s="9" t="s">
        <v>171</v>
      </c>
      <c r="B14" s="18" t="s">
        <v>167</v>
      </c>
      <c r="C14" s="12">
        <v>50000</v>
      </c>
      <c r="D14" s="179">
        <f t="shared" si="1"/>
        <v>51500</v>
      </c>
      <c r="E14" s="179">
        <f t="shared" si="1"/>
        <v>53045</v>
      </c>
      <c r="F14" s="179">
        <f t="shared" si="1"/>
        <v>54636.35</v>
      </c>
      <c r="G14" s="179">
        <f t="shared" si="1"/>
        <v>56275.440499999997</v>
      </c>
      <c r="H14" s="179">
        <f t="shared" si="1"/>
        <v>57963.703714999996</v>
      </c>
    </row>
    <row r="15" spans="1:8" s="10" customFormat="1" ht="13.5" customHeight="1" thickBot="1" x14ac:dyDescent="0.25">
      <c r="A15" s="9" t="s">
        <v>171</v>
      </c>
      <c r="B15" s="18" t="s">
        <v>168</v>
      </c>
      <c r="C15" s="12">
        <v>40000</v>
      </c>
      <c r="D15" s="179">
        <f t="shared" si="1"/>
        <v>41200</v>
      </c>
      <c r="E15" s="179">
        <f t="shared" si="1"/>
        <v>42436</v>
      </c>
      <c r="F15" s="179">
        <f t="shared" si="1"/>
        <v>43709.08</v>
      </c>
      <c r="G15" s="179">
        <f t="shared" si="1"/>
        <v>45020.352400000003</v>
      </c>
      <c r="H15" s="179">
        <f t="shared" si="1"/>
        <v>46370.962972000001</v>
      </c>
    </row>
    <row r="16" spans="1:8" s="10" customFormat="1" ht="13.5" customHeight="1" thickBot="1" x14ac:dyDescent="0.25">
      <c r="A16" s="9" t="s">
        <v>172</v>
      </c>
      <c r="B16" s="18" t="s">
        <v>167</v>
      </c>
      <c r="C16" s="12">
        <v>50000</v>
      </c>
      <c r="D16" s="179">
        <f t="shared" si="1"/>
        <v>51500</v>
      </c>
      <c r="E16" s="179">
        <f t="shared" si="1"/>
        <v>53045</v>
      </c>
      <c r="F16" s="179">
        <f t="shared" si="1"/>
        <v>54636.35</v>
      </c>
      <c r="G16" s="179">
        <f t="shared" si="1"/>
        <v>56275.440499999997</v>
      </c>
      <c r="H16" s="179">
        <f t="shared" si="1"/>
        <v>57963.703714999996</v>
      </c>
    </row>
    <row r="17" spans="1:8" s="10" customFormat="1" ht="13.5" customHeight="1" thickBot="1" x14ac:dyDescent="0.25">
      <c r="A17" s="9" t="s">
        <v>172</v>
      </c>
      <c r="B17" s="18" t="s">
        <v>168</v>
      </c>
      <c r="C17" s="12">
        <v>40000</v>
      </c>
      <c r="D17" s="179">
        <f t="shared" si="1"/>
        <v>41200</v>
      </c>
      <c r="E17" s="179">
        <f t="shared" si="1"/>
        <v>42436</v>
      </c>
      <c r="F17" s="179">
        <f t="shared" si="1"/>
        <v>43709.08</v>
      </c>
      <c r="G17" s="179">
        <f t="shared" si="1"/>
        <v>45020.352400000003</v>
      </c>
      <c r="H17" s="179">
        <f t="shared" si="1"/>
        <v>46370.962972000001</v>
      </c>
    </row>
    <row r="18" spans="1:8" s="10" customFormat="1" ht="13.5" customHeight="1" thickBot="1" x14ac:dyDescent="0.25">
      <c r="A18" s="9" t="s">
        <v>173</v>
      </c>
      <c r="B18" s="18" t="s">
        <v>167</v>
      </c>
      <c r="C18" s="12">
        <v>50000</v>
      </c>
      <c r="D18" s="179">
        <f t="shared" si="1"/>
        <v>51500</v>
      </c>
      <c r="E18" s="179">
        <f t="shared" si="1"/>
        <v>53045</v>
      </c>
      <c r="F18" s="179">
        <f t="shared" si="1"/>
        <v>54636.35</v>
      </c>
      <c r="G18" s="179">
        <f t="shared" si="1"/>
        <v>56275.440499999997</v>
      </c>
      <c r="H18" s="179">
        <f t="shared" si="1"/>
        <v>57963.703714999996</v>
      </c>
    </row>
    <row r="19" spans="1:8" s="10" customFormat="1" ht="13.5" customHeight="1" thickBot="1" x14ac:dyDescent="0.25">
      <c r="A19" s="9" t="s">
        <v>173</v>
      </c>
      <c r="B19" s="18" t="s">
        <v>168</v>
      </c>
      <c r="C19" s="12">
        <v>40000</v>
      </c>
      <c r="D19" s="179">
        <f t="shared" si="1"/>
        <v>41200</v>
      </c>
      <c r="E19" s="179">
        <f t="shared" si="1"/>
        <v>42436</v>
      </c>
      <c r="F19" s="179">
        <f t="shared" si="1"/>
        <v>43709.08</v>
      </c>
      <c r="G19" s="179">
        <f t="shared" si="1"/>
        <v>45020.352400000003</v>
      </c>
      <c r="H19" s="179">
        <f t="shared" si="1"/>
        <v>46370.962972000001</v>
      </c>
    </row>
    <row r="20" spans="1:8" s="10" customFormat="1" ht="13.5" customHeight="1" thickBot="1" x14ac:dyDescent="0.25">
      <c r="A20" s="13" t="s">
        <v>174</v>
      </c>
      <c r="B20" s="13" t="s">
        <v>174</v>
      </c>
      <c r="C20" s="12">
        <v>40000</v>
      </c>
      <c r="D20" s="179">
        <f t="shared" si="1"/>
        <v>41200</v>
      </c>
      <c r="E20" s="179">
        <f t="shared" si="1"/>
        <v>42436</v>
      </c>
      <c r="F20" s="179">
        <f t="shared" si="1"/>
        <v>43709.08</v>
      </c>
      <c r="G20" s="179">
        <f t="shared" si="1"/>
        <v>45020.352400000003</v>
      </c>
      <c r="H20" s="179">
        <f t="shared" si="1"/>
        <v>46370.962972000001</v>
      </c>
    </row>
    <row r="21" spans="1:8" s="10" customFormat="1" ht="13.5" customHeight="1" thickBot="1" x14ac:dyDescent="0.25">
      <c r="A21" s="13" t="s">
        <v>175</v>
      </c>
      <c r="B21" s="18" t="s">
        <v>167</v>
      </c>
      <c r="C21" s="12"/>
      <c r="D21" s="12">
        <v>50000</v>
      </c>
      <c r="E21" s="179">
        <f t="shared" ref="E21:H21" si="2">D21*1.03</f>
        <v>51500</v>
      </c>
      <c r="F21" s="179">
        <f t="shared" si="2"/>
        <v>53045</v>
      </c>
      <c r="G21" s="179">
        <f t="shared" si="2"/>
        <v>54636.35</v>
      </c>
      <c r="H21" s="179">
        <f t="shared" si="2"/>
        <v>56275.440499999997</v>
      </c>
    </row>
    <row r="22" spans="1:8" s="10" customFormat="1" ht="13.5" customHeight="1" thickBot="1" x14ac:dyDescent="0.25">
      <c r="A22" s="13" t="s">
        <v>175</v>
      </c>
      <c r="B22" s="18" t="s">
        <v>168</v>
      </c>
      <c r="C22" s="12"/>
      <c r="D22" s="12">
        <v>40000</v>
      </c>
      <c r="E22" s="179">
        <f t="shared" ref="E22:H22" si="3">D22*1.03</f>
        <v>41200</v>
      </c>
      <c r="F22" s="179">
        <f t="shared" si="3"/>
        <v>42436</v>
      </c>
      <c r="G22" s="179">
        <f t="shared" si="3"/>
        <v>43709.08</v>
      </c>
      <c r="H22" s="179">
        <f t="shared" si="3"/>
        <v>45020.352400000003</v>
      </c>
    </row>
    <row r="23" spans="1:8" s="10" customFormat="1" ht="13.5" customHeight="1" thickBot="1" x14ac:dyDescent="0.25">
      <c r="A23" s="13" t="s">
        <v>176</v>
      </c>
      <c r="B23" s="18" t="s">
        <v>167</v>
      </c>
      <c r="C23" s="12"/>
      <c r="D23" s="12">
        <v>50000</v>
      </c>
      <c r="E23" s="179">
        <f t="shared" ref="E23:H23" si="4">D23*1.03</f>
        <v>51500</v>
      </c>
      <c r="F23" s="179">
        <f t="shared" si="4"/>
        <v>53045</v>
      </c>
      <c r="G23" s="179">
        <f t="shared" si="4"/>
        <v>54636.35</v>
      </c>
      <c r="H23" s="179">
        <f t="shared" si="4"/>
        <v>56275.440499999997</v>
      </c>
    </row>
    <row r="24" spans="1:8" s="10" customFormat="1" ht="13.5" customHeight="1" thickBot="1" x14ac:dyDescent="0.25">
      <c r="A24" s="13" t="s">
        <v>176</v>
      </c>
      <c r="B24" s="18" t="s">
        <v>168</v>
      </c>
      <c r="C24" s="12"/>
      <c r="D24" s="12">
        <v>40000</v>
      </c>
      <c r="E24" s="179">
        <f t="shared" ref="E24:H24" si="5">D24*1.03</f>
        <v>41200</v>
      </c>
      <c r="F24" s="179">
        <f t="shared" si="5"/>
        <v>42436</v>
      </c>
      <c r="G24" s="179">
        <f t="shared" si="5"/>
        <v>43709.08</v>
      </c>
      <c r="H24" s="179">
        <f t="shared" si="5"/>
        <v>45020.352400000003</v>
      </c>
    </row>
    <row r="25" spans="1:8" s="10" customFormat="1" ht="13.5" customHeight="1" thickBot="1" x14ac:dyDescent="0.25">
      <c r="A25" s="13" t="s">
        <v>177</v>
      </c>
      <c r="B25" s="18" t="s">
        <v>167</v>
      </c>
      <c r="C25" s="12"/>
      <c r="E25" s="12">
        <v>50000</v>
      </c>
      <c r="F25" s="179">
        <f t="shared" ref="F25:H25" si="6">E25*1.03</f>
        <v>51500</v>
      </c>
      <c r="G25" s="179">
        <f t="shared" si="6"/>
        <v>53045</v>
      </c>
      <c r="H25" s="179">
        <f t="shared" si="6"/>
        <v>54636.35</v>
      </c>
    </row>
    <row r="26" spans="1:8" s="10" customFormat="1" ht="13.5" customHeight="1" thickBot="1" x14ac:dyDescent="0.25">
      <c r="A26" s="13" t="s">
        <v>177</v>
      </c>
      <c r="B26" s="18" t="s">
        <v>168</v>
      </c>
      <c r="C26" s="12"/>
      <c r="E26" s="12">
        <v>40000</v>
      </c>
      <c r="F26" s="179">
        <f t="shared" ref="F26:H26" si="7">E26*1.03</f>
        <v>41200</v>
      </c>
      <c r="G26" s="179">
        <f t="shared" si="7"/>
        <v>42436</v>
      </c>
      <c r="H26" s="179">
        <f t="shared" si="7"/>
        <v>43709.08</v>
      </c>
    </row>
    <row r="27" spans="1:8" s="10" customFormat="1" ht="13.5" customHeight="1" thickBot="1" x14ac:dyDescent="0.25">
      <c r="A27" s="13" t="s">
        <v>178</v>
      </c>
      <c r="B27" s="18" t="s">
        <v>167</v>
      </c>
      <c r="C27" s="12"/>
      <c r="E27" s="12">
        <v>50000</v>
      </c>
      <c r="F27" s="179">
        <f t="shared" ref="F27:H27" si="8">E27*1.03</f>
        <v>51500</v>
      </c>
      <c r="G27" s="179">
        <f t="shared" si="8"/>
        <v>53045</v>
      </c>
      <c r="H27" s="179">
        <f t="shared" si="8"/>
        <v>54636.35</v>
      </c>
    </row>
    <row r="28" spans="1:8" s="10" customFormat="1" ht="13.5" customHeight="1" thickBot="1" x14ac:dyDescent="0.25">
      <c r="A28" s="13" t="s">
        <v>178</v>
      </c>
      <c r="B28" s="18" t="s">
        <v>168</v>
      </c>
      <c r="C28" s="12"/>
      <c r="E28" s="12">
        <v>40000</v>
      </c>
      <c r="F28" s="179">
        <f t="shared" ref="F28:H28" si="9">E28*1.03</f>
        <v>41200</v>
      </c>
      <c r="G28" s="179">
        <f t="shared" si="9"/>
        <v>42436</v>
      </c>
      <c r="H28" s="179">
        <f t="shared" si="9"/>
        <v>43709.08</v>
      </c>
    </row>
    <row r="29" spans="1:8" s="10" customFormat="1" ht="13.5" customHeight="1" thickBot="1" x14ac:dyDescent="0.25">
      <c r="A29" s="13" t="s">
        <v>179</v>
      </c>
      <c r="B29" s="18" t="s">
        <v>167</v>
      </c>
      <c r="C29" s="12"/>
      <c r="F29" s="12">
        <v>50000</v>
      </c>
      <c r="G29" s="179">
        <f t="shared" ref="G29:H29" si="10">F29*1.03</f>
        <v>51500</v>
      </c>
      <c r="H29" s="179">
        <f t="shared" si="10"/>
        <v>53045</v>
      </c>
    </row>
    <row r="30" spans="1:8" s="10" customFormat="1" ht="13.5" customHeight="1" thickBot="1" x14ac:dyDescent="0.25">
      <c r="A30" s="13" t="s">
        <v>179</v>
      </c>
      <c r="B30" s="18" t="s">
        <v>168</v>
      </c>
      <c r="C30" s="12"/>
      <c r="F30" s="12">
        <v>40000</v>
      </c>
      <c r="G30" s="179">
        <f t="shared" ref="G30:H30" si="11">F30*1.03</f>
        <v>41200</v>
      </c>
      <c r="H30" s="179">
        <f t="shared" si="11"/>
        <v>42436</v>
      </c>
    </row>
    <row r="31" spans="1:8" s="10" customFormat="1" ht="13.5" customHeight="1" thickBot="1" x14ac:dyDescent="0.25">
      <c r="A31" s="13" t="s">
        <v>180</v>
      </c>
      <c r="B31" s="18" t="s">
        <v>167</v>
      </c>
      <c r="C31" s="12"/>
      <c r="F31" s="12">
        <v>50000</v>
      </c>
      <c r="G31" s="179">
        <f t="shared" ref="G31:H31" si="12">F31*1.03</f>
        <v>51500</v>
      </c>
      <c r="H31" s="179">
        <f t="shared" si="12"/>
        <v>53045</v>
      </c>
    </row>
    <row r="32" spans="1:8" s="10" customFormat="1" ht="13.5" customHeight="1" thickBot="1" x14ac:dyDescent="0.25">
      <c r="A32" s="13" t="s">
        <v>180</v>
      </c>
      <c r="B32" s="18" t="s">
        <v>168</v>
      </c>
      <c r="C32" s="12"/>
      <c r="F32" s="12">
        <v>40000</v>
      </c>
      <c r="G32" s="179">
        <f t="shared" ref="G32:H32" si="13">F32*1.03</f>
        <v>41200</v>
      </c>
      <c r="H32" s="179">
        <f t="shared" si="13"/>
        <v>42436</v>
      </c>
    </row>
    <row r="33" spans="1:8" s="10" customFormat="1" ht="13.5" customHeight="1" thickBot="1" x14ac:dyDescent="0.25">
      <c r="A33" s="13" t="s">
        <v>181</v>
      </c>
      <c r="B33" s="18" t="s">
        <v>167</v>
      </c>
      <c r="C33" s="12"/>
      <c r="G33" s="12">
        <v>50000</v>
      </c>
      <c r="H33" s="179">
        <f t="shared" ref="H33" si="14">G33*1.03</f>
        <v>51500</v>
      </c>
    </row>
    <row r="34" spans="1:8" s="10" customFormat="1" ht="13.5" customHeight="1" thickBot="1" x14ac:dyDescent="0.25">
      <c r="A34" s="13" t="s">
        <v>181</v>
      </c>
      <c r="B34" s="18" t="s">
        <v>168</v>
      </c>
      <c r="C34" s="12"/>
      <c r="G34" s="12">
        <v>40000</v>
      </c>
      <c r="H34" s="179">
        <f t="shared" ref="H34" si="15">G34*1.03</f>
        <v>41200</v>
      </c>
    </row>
    <row r="35" spans="1:8" s="10" customFormat="1" ht="13.5" customHeight="1" thickBot="1" x14ac:dyDescent="0.25">
      <c r="A35" s="13" t="s">
        <v>182</v>
      </c>
      <c r="B35" s="18" t="s">
        <v>167</v>
      </c>
      <c r="C35" s="12"/>
      <c r="G35" s="12">
        <v>50000</v>
      </c>
      <c r="H35" s="179">
        <f t="shared" ref="H35" si="16">G35*1.03</f>
        <v>51500</v>
      </c>
    </row>
    <row r="36" spans="1:8" s="10" customFormat="1" ht="13.5" customHeight="1" thickBot="1" x14ac:dyDescent="0.25">
      <c r="A36" s="13" t="s">
        <v>182</v>
      </c>
      <c r="B36" s="18" t="s">
        <v>168</v>
      </c>
      <c r="C36" s="12"/>
      <c r="G36" s="12">
        <v>40000</v>
      </c>
      <c r="H36" s="179">
        <f t="shared" ref="H36" si="17">G36*1.03</f>
        <v>41200</v>
      </c>
    </row>
    <row r="37" spans="1:8" s="10" customFormat="1" ht="13.5" customHeight="1" thickBot="1" x14ac:dyDescent="0.25">
      <c r="A37" s="13" t="s">
        <v>183</v>
      </c>
      <c r="B37" s="18" t="s">
        <v>167</v>
      </c>
      <c r="C37" s="12"/>
      <c r="H37" s="12">
        <v>50000</v>
      </c>
    </row>
    <row r="38" spans="1:8" s="10" customFormat="1" ht="13.5" customHeight="1" thickBot="1" x14ac:dyDescent="0.25">
      <c r="A38" s="13" t="s">
        <v>183</v>
      </c>
      <c r="B38" s="18" t="s">
        <v>168</v>
      </c>
      <c r="C38" s="12"/>
      <c r="H38" s="12">
        <v>40000</v>
      </c>
    </row>
    <row r="39" spans="1:8" s="10" customFormat="1" ht="13.5" customHeight="1" thickBot="1" x14ac:dyDescent="0.25">
      <c r="A39" s="13" t="s">
        <v>184</v>
      </c>
      <c r="B39" s="18" t="s">
        <v>167</v>
      </c>
      <c r="C39" s="12"/>
      <c r="H39" s="12">
        <v>50000</v>
      </c>
    </row>
    <row r="40" spans="1:8" s="10" customFormat="1" ht="13.5" customHeight="1" thickBot="1" x14ac:dyDescent="0.25">
      <c r="A40" s="13" t="s">
        <v>184</v>
      </c>
      <c r="B40" s="18" t="s">
        <v>168</v>
      </c>
      <c r="C40" s="12"/>
      <c r="H40" s="12">
        <v>40000</v>
      </c>
    </row>
    <row r="41" spans="1:8" s="10" customFormat="1" ht="13.5" customHeight="1" thickBot="1" x14ac:dyDescent="0.25">
      <c r="A41" s="13"/>
      <c r="B41" s="17" t="s">
        <v>185</v>
      </c>
      <c r="C41" s="12">
        <v>60000</v>
      </c>
      <c r="D41" s="179">
        <f t="shared" ref="D41" si="18">C41*1.03</f>
        <v>61800</v>
      </c>
      <c r="E41" s="179">
        <f t="shared" ref="E41" si="19">D41*1.03</f>
        <v>63654</v>
      </c>
      <c r="F41" s="179">
        <f t="shared" ref="F41" si="20">E41*1.03</f>
        <v>65563.62</v>
      </c>
      <c r="G41" s="179">
        <f t="shared" ref="G41" si="21">F41*1.03</f>
        <v>67530.528599999991</v>
      </c>
      <c r="H41" s="179">
        <f t="shared" ref="H41" si="22">G41*1.03</f>
        <v>69556.444457999998</v>
      </c>
    </row>
    <row r="42" spans="1:8" s="10" customFormat="1" ht="13.5" customHeight="1" thickBot="1" x14ac:dyDescent="0.25">
      <c r="A42" s="13"/>
      <c r="B42" s="17" t="s">
        <v>186</v>
      </c>
      <c r="C42" s="12">
        <f>C3*465</f>
        <v>55800</v>
      </c>
      <c r="D42" s="12">
        <f t="shared" ref="D42:H42" si="23">D3*465</f>
        <v>78120</v>
      </c>
      <c r="E42" s="12">
        <f t="shared" si="23"/>
        <v>100440</v>
      </c>
      <c r="F42" s="12">
        <f t="shared" si="23"/>
        <v>122760</v>
      </c>
      <c r="G42" s="12">
        <f t="shared" si="23"/>
        <v>145080</v>
      </c>
      <c r="H42" s="12">
        <f t="shared" si="23"/>
        <v>167400</v>
      </c>
    </row>
    <row r="43" spans="1:8" s="10" customFormat="1" ht="13.5" customHeight="1" thickBot="1" x14ac:dyDescent="0.25">
      <c r="A43" s="13"/>
      <c r="B43" s="17" t="s">
        <v>187</v>
      </c>
      <c r="C43" s="12">
        <v>50000</v>
      </c>
      <c r="D43" s="179">
        <f t="shared" ref="D43" si="24">C43*1.03</f>
        <v>51500</v>
      </c>
      <c r="E43" s="179">
        <f t="shared" ref="E43" si="25">D43*1.03</f>
        <v>53045</v>
      </c>
      <c r="F43" s="179">
        <f t="shared" ref="F43" si="26">E43*1.03</f>
        <v>54636.35</v>
      </c>
      <c r="G43" s="179">
        <f t="shared" ref="G43" si="27">F43*1.03</f>
        <v>56275.440499999997</v>
      </c>
      <c r="H43" s="179">
        <f t="shared" ref="H43" si="28">G43*1.03</f>
        <v>57963.703714999996</v>
      </c>
    </row>
    <row r="44" spans="1:8" s="10" customFormat="1" ht="13.5" customHeight="1" thickBot="1" x14ac:dyDescent="0.25">
      <c r="A44" s="13"/>
      <c r="B44" s="17" t="s">
        <v>188</v>
      </c>
      <c r="C44" s="12"/>
      <c r="D44" s="179">
        <v>55000</v>
      </c>
      <c r="E44" s="179">
        <f t="shared" ref="E44" si="29">D44*1.03</f>
        <v>56650</v>
      </c>
      <c r="F44" s="179">
        <f t="shared" ref="F44:F45" si="30">E44*1.03</f>
        <v>58349.5</v>
      </c>
      <c r="G44" s="179">
        <f t="shared" ref="G44:G45" si="31">F44*1.03</f>
        <v>60099.985000000001</v>
      </c>
      <c r="H44" s="179">
        <f t="shared" ref="H44:H45" si="32">G44*1.03</f>
        <v>61902.984550000001</v>
      </c>
    </row>
    <row r="45" spans="1:8" s="10" customFormat="1" ht="13.5" customHeight="1" thickBot="1" x14ac:dyDescent="0.25">
      <c r="A45" s="13"/>
      <c r="B45" s="17" t="s">
        <v>189</v>
      </c>
      <c r="C45" s="12"/>
      <c r="D45" s="179"/>
      <c r="E45" s="179">
        <v>55000</v>
      </c>
      <c r="F45" s="179">
        <f t="shared" si="30"/>
        <v>56650</v>
      </c>
      <c r="G45" s="179">
        <f t="shared" si="31"/>
        <v>58349.5</v>
      </c>
      <c r="H45" s="179">
        <f t="shared" si="32"/>
        <v>60099.985000000001</v>
      </c>
    </row>
    <row r="46" spans="1:8" s="10" customFormat="1" ht="13.5" customHeight="1" thickBot="1" x14ac:dyDescent="0.25">
      <c r="A46" s="13"/>
      <c r="B46" s="17" t="s">
        <v>190</v>
      </c>
      <c r="C46" s="12"/>
      <c r="D46" s="179">
        <v>50000</v>
      </c>
      <c r="E46" s="179">
        <f t="shared" ref="E46" si="33">D46*1.03</f>
        <v>51500</v>
      </c>
      <c r="F46" s="179">
        <f t="shared" ref="F46:F47" si="34">E46*1.03</f>
        <v>53045</v>
      </c>
      <c r="G46" s="179">
        <f t="shared" ref="G46:G48" si="35">F46*1.03</f>
        <v>54636.35</v>
      </c>
      <c r="H46" s="179">
        <f t="shared" ref="H46:H50" si="36">G46*1.03</f>
        <v>56275.440499999997</v>
      </c>
    </row>
    <row r="47" spans="1:8" s="10" customFormat="1" ht="13.5" customHeight="1" thickBot="1" x14ac:dyDescent="0.25">
      <c r="A47" s="13"/>
      <c r="B47" s="17" t="s">
        <v>191</v>
      </c>
      <c r="C47" s="12"/>
      <c r="E47" s="179">
        <v>55000</v>
      </c>
      <c r="F47" s="179">
        <f t="shared" si="34"/>
        <v>56650</v>
      </c>
      <c r="G47" s="179">
        <f t="shared" si="35"/>
        <v>58349.5</v>
      </c>
      <c r="H47" s="179">
        <f t="shared" si="36"/>
        <v>60099.985000000001</v>
      </c>
    </row>
    <row r="48" spans="1:8" s="10" customFormat="1" ht="13.5" customHeight="1" thickBot="1" x14ac:dyDescent="0.25">
      <c r="A48" s="13"/>
      <c r="B48" s="17" t="s">
        <v>192</v>
      </c>
      <c r="C48" s="12"/>
      <c r="F48" s="179">
        <v>55000</v>
      </c>
      <c r="G48" s="179">
        <f t="shared" si="35"/>
        <v>56650</v>
      </c>
      <c r="H48" s="179">
        <f t="shared" si="36"/>
        <v>58349.5</v>
      </c>
    </row>
    <row r="49" spans="1:8" s="10" customFormat="1" ht="13.5" customHeight="1" thickBot="1" x14ac:dyDescent="0.25">
      <c r="A49" s="13"/>
      <c r="B49" s="17" t="s">
        <v>193</v>
      </c>
      <c r="C49" s="12"/>
      <c r="F49" s="179"/>
      <c r="G49" s="179">
        <v>55000</v>
      </c>
      <c r="H49" s="179">
        <f t="shared" si="36"/>
        <v>56650</v>
      </c>
    </row>
    <row r="50" spans="1:8" s="10" customFormat="1" ht="13.5" customHeight="1" thickBot="1" x14ac:dyDescent="0.25">
      <c r="A50" s="13"/>
      <c r="B50" s="17" t="s">
        <v>194</v>
      </c>
      <c r="C50" s="12"/>
      <c r="F50" s="179"/>
      <c r="G50" s="179">
        <v>55000</v>
      </c>
      <c r="H50" s="179">
        <f t="shared" si="36"/>
        <v>56650</v>
      </c>
    </row>
    <row r="51" spans="1:8" s="10" customFormat="1" ht="13.5" customHeight="1" thickBot="1" x14ac:dyDescent="0.25">
      <c r="A51" s="13"/>
      <c r="B51" s="17" t="s">
        <v>195</v>
      </c>
      <c r="C51" s="12">
        <v>50000</v>
      </c>
      <c r="D51" s="179">
        <f t="shared" ref="D51" si="37">C51*1.03</f>
        <v>51500</v>
      </c>
      <c r="E51" s="179">
        <f t="shared" ref="E51" si="38">D51*1.03</f>
        <v>53045</v>
      </c>
      <c r="F51" s="179">
        <f t="shared" ref="F51" si="39">E51*1.03</f>
        <v>54636.35</v>
      </c>
      <c r="G51" s="179">
        <f t="shared" ref="G51:H53" si="40">F51*1.03</f>
        <v>56275.440499999997</v>
      </c>
      <c r="H51" s="179">
        <f t="shared" ref="H51" si="41">G51*1.03</f>
        <v>57963.703714999996</v>
      </c>
    </row>
    <row r="52" spans="1:8" s="10" customFormat="1" ht="13.5" customHeight="1" thickBot="1" x14ac:dyDescent="0.25">
      <c r="A52" s="13"/>
      <c r="B52" s="17" t="s">
        <v>196</v>
      </c>
      <c r="C52" s="12"/>
      <c r="E52" s="12">
        <v>25000</v>
      </c>
      <c r="F52" s="179">
        <v>25000</v>
      </c>
      <c r="G52" s="179">
        <f t="shared" si="40"/>
        <v>25750</v>
      </c>
      <c r="H52" s="179">
        <f t="shared" si="40"/>
        <v>26522.5</v>
      </c>
    </row>
    <row r="53" spans="1:8" s="10" customFormat="1" ht="13.5" customHeight="1" thickBot="1" x14ac:dyDescent="0.25">
      <c r="A53" s="13"/>
      <c r="B53" s="13" t="s">
        <v>174</v>
      </c>
      <c r="C53" s="12"/>
      <c r="E53" s="12"/>
      <c r="F53" s="179"/>
      <c r="G53" s="179">
        <v>55000</v>
      </c>
      <c r="H53" s="179">
        <f t="shared" si="40"/>
        <v>56650</v>
      </c>
    </row>
    <row r="54" spans="1:8" s="10" customFormat="1" ht="13.5" customHeight="1" thickBot="1" x14ac:dyDescent="0.25">
      <c r="A54" s="13"/>
      <c r="B54" s="17" t="s">
        <v>191</v>
      </c>
      <c r="C54" s="12"/>
      <c r="E54" s="12"/>
      <c r="F54" s="179"/>
      <c r="G54" s="179"/>
      <c r="H54" s="179">
        <v>55000</v>
      </c>
    </row>
    <row r="55" spans="1:8" s="10" customFormat="1" ht="13.5" customHeight="1" thickBot="1" x14ac:dyDescent="0.25">
      <c r="A55" s="13"/>
      <c r="B55" s="17"/>
      <c r="C55" s="12"/>
    </row>
    <row r="56" spans="1:8" s="10" customFormat="1" ht="13.5" customHeight="1" thickBot="1" x14ac:dyDescent="0.25">
      <c r="A56" s="13"/>
      <c r="B56" s="17"/>
      <c r="C56" s="12"/>
    </row>
    <row r="57" spans="1:8" s="10" customFormat="1" ht="13.5" customHeight="1" thickBot="1" x14ac:dyDescent="0.25">
      <c r="A57" s="13"/>
      <c r="B57" s="20" t="s">
        <v>197</v>
      </c>
      <c r="C57" s="12">
        <v>15000</v>
      </c>
      <c r="D57" s="179">
        <f t="shared" ref="D57:H57" si="42">C57*1.03</f>
        <v>15450</v>
      </c>
      <c r="E57" s="179">
        <f t="shared" si="42"/>
        <v>15913.5</v>
      </c>
      <c r="F57" s="179">
        <f t="shared" si="42"/>
        <v>16390.904999999999</v>
      </c>
      <c r="G57" s="179">
        <f t="shared" si="42"/>
        <v>16882.632149999998</v>
      </c>
      <c r="H57" s="179">
        <f t="shared" si="42"/>
        <v>17389.1111145</v>
      </c>
    </row>
    <row r="58" spans="1:8" s="10" customFormat="1" ht="13.5" customHeight="1" thickBot="1" x14ac:dyDescent="0.25">
      <c r="A58" s="13"/>
      <c r="B58" s="21"/>
      <c r="C58" s="12"/>
    </row>
    <row r="59" spans="1:8" s="10" customFormat="1" ht="13.5" customHeight="1" thickBot="1" x14ac:dyDescent="0.25">
      <c r="A59" s="13"/>
      <c r="B59" s="20" t="s">
        <v>198</v>
      </c>
      <c r="C59" s="12">
        <v>30000</v>
      </c>
      <c r="D59" s="179">
        <f t="shared" ref="D59:H59" si="43">C59*1.03</f>
        <v>30900</v>
      </c>
      <c r="E59" s="179">
        <f t="shared" si="43"/>
        <v>31827</v>
      </c>
      <c r="F59" s="179">
        <f t="shared" si="43"/>
        <v>32781.81</v>
      </c>
      <c r="G59" s="179">
        <f t="shared" si="43"/>
        <v>33765.264299999995</v>
      </c>
      <c r="H59" s="179">
        <f t="shared" si="43"/>
        <v>34778.222228999999</v>
      </c>
    </row>
    <row r="60" spans="1:8" s="10" customFormat="1" ht="13.5" customHeight="1" thickBot="1" x14ac:dyDescent="0.25">
      <c r="A60" s="13"/>
      <c r="B60" s="20"/>
      <c r="C60" s="12"/>
    </row>
    <row r="61" spans="1:8" s="10" customFormat="1" x14ac:dyDescent="0.2">
      <c r="A61" s="13"/>
      <c r="B61" s="19"/>
      <c r="C61" s="16">
        <f>SUM(C5:C60)</f>
        <v>925800</v>
      </c>
      <c r="D61" s="16">
        <f t="shared" ref="D61:H61" si="44">SUM(D5:D60)</f>
        <v>1259220</v>
      </c>
      <c r="E61" s="16">
        <f t="shared" si="44"/>
        <v>1631973</v>
      </c>
      <c r="F61" s="16">
        <f t="shared" si="44"/>
        <v>1934488.99</v>
      </c>
      <c r="G61" s="16">
        <f t="shared" si="44"/>
        <v>2356160.8596999999</v>
      </c>
      <c r="H61" s="16">
        <f t="shared" si="44"/>
        <v>2679813.2854909999</v>
      </c>
    </row>
    <row r="62" spans="1:8" x14ac:dyDescent="0.2">
      <c r="A62" s="14"/>
      <c r="B62" s="14"/>
      <c r="C62" s="15"/>
    </row>
  </sheetData>
  <sortState ref="A3:K12">
    <sortCondition ref="A3:A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PPASY1918</vt:lpstr>
      <vt:lpstr>PPA SY2019</vt:lpstr>
      <vt:lpstr>PPA SY2120</vt:lpstr>
      <vt:lpstr>PPA SY22221</vt:lpstr>
      <vt:lpstr>PPASY2322</vt:lpstr>
      <vt:lpstr>PPASY2423</vt:lpstr>
      <vt:lpstr>6 Yr Epansion Budget</vt:lpstr>
      <vt:lpstr>Salary Payroll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Achievement Preparatory</dc:creator>
  <cp:keywords/>
  <dc:description/>
  <cp:lastModifiedBy>Laterica Quinn</cp:lastModifiedBy>
  <cp:revision/>
  <dcterms:created xsi:type="dcterms:W3CDTF">2007-09-15T00:26:06Z</dcterms:created>
  <dcterms:modified xsi:type="dcterms:W3CDTF">2017-05-10T14:04:13Z</dcterms:modified>
  <cp:category/>
  <cp:contentStatus/>
</cp:coreProperties>
</file>