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5"/>
  <workbookPr codeName="ThisWorkbook" autoCompressPictures="0"/>
  <mc:AlternateContent xmlns:mc="http://schemas.openxmlformats.org/markup-compatibility/2006">
    <mc:Choice Requires="x15">
      <x15ac:absPath xmlns:x15ac="http://schemas.microsoft.com/office/spreadsheetml/2010/11/ac" url="/Volumes/dcpcsb/Shared/Finance/School Finance/Budgets/Budgets FY 2022/FY22 Budgets to be Reviewed/"/>
    </mc:Choice>
  </mc:AlternateContent>
  <xr:revisionPtr revIDLastSave="0" documentId="13_ncr:1_{BF1DC23A-E6D7-FF4F-8A55-A19CEA081B42}" xr6:coauthVersionLast="47" xr6:coauthVersionMax="47" xr10:uidLastSave="{00000000-0000-0000-0000-000000000000}"/>
  <workbookProtection workbookAlgorithmName="SHA-512" workbookHashValue="BX9j7YF0n6RpiTk3az2xhe9p290jcjpIG2xp0fiLA4pzXXmG/HWPDlg9CxBeIGlvoS+CR8yCDJ1eU5Wl9hsQIg==" workbookSaltValue="lBuGrAne6K92upW5/KrDlA==" workbookSpinCount="100000" lockStructure="1"/>
  <bookViews>
    <workbookView xWindow="61400" yWindow="500" windowWidth="20740" windowHeight="11160" tabRatio="863" activeTab="2" xr2:uid="{ED86FE8E-EFFC-4BEE-9B35-73AEDDBBA4B1}"/>
  </bookViews>
  <sheets>
    <sheet name="1 Instructions - Read First" sheetId="6" r:id="rId1"/>
    <sheet name="2 Enrollments" sheetId="4" r:id="rId2"/>
    <sheet name="3 FY22 Annual Budget" sheetId="5" r:id="rId3"/>
    <sheet name="FY22 Pro Forma Estimate" sheetId="8" state="hidden" r:id="rId4"/>
    <sheet name="LEA List" sheetId="7" state="hidden" r:id="rId5"/>
  </sheets>
  <externalReferences>
    <externalReference r:id="rId6"/>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2">#REF!</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LEA_Name" localSheetId="3">LEA_List[LEA]</definedName>
    <definedName name="LEA_Name">LEA_List[LEA]</definedName>
    <definedName name="_xlnm.Print_Area" localSheetId="0">'1 Instructions - Read First'!$B$1:$B$10</definedName>
    <definedName name="_xlnm.Print_Area" localSheetId="2">'3 FY22 Annual Budget'!$A:$Y</definedName>
    <definedName name="Scenario" localSheetId="2">[1]Inputs!#REF!</definedName>
    <definedName name="Variability">'FY22 Pro Forma Estimate'!$M$6:$M$11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1" i="8" l="1"/>
  <c r="A64" i="8"/>
  <c r="A62" i="8"/>
  <c r="B61" i="8"/>
  <c r="B59" i="8"/>
  <c r="C58" i="8"/>
  <c r="H58" i="8" s="1"/>
  <c r="I58" i="8" s="1"/>
  <c r="B58" i="8"/>
  <c r="C57" i="8"/>
  <c r="B57" i="8"/>
  <c r="C56" i="8"/>
  <c r="B56" i="8"/>
  <c r="C55" i="8"/>
  <c r="B55" i="8"/>
  <c r="C54" i="8"/>
  <c r="B54" i="8"/>
  <c r="C53" i="8"/>
  <c r="B53" i="8"/>
  <c r="C52" i="8"/>
  <c r="G52" i="8" s="1"/>
  <c r="H52" i="8" s="1"/>
  <c r="I52" i="8" s="1"/>
  <c r="B52" i="8"/>
  <c r="C51" i="8"/>
  <c r="B51" i="8"/>
  <c r="C50" i="8"/>
  <c r="G50" i="8" s="1"/>
  <c r="H50" i="8" s="1"/>
  <c r="I50" i="8" s="1"/>
  <c r="B50" i="8"/>
  <c r="C49" i="8"/>
  <c r="B49" i="8"/>
  <c r="C48" i="8"/>
  <c r="B48" i="8"/>
  <c r="C47" i="8"/>
  <c r="B47" i="8"/>
  <c r="A46" i="8"/>
  <c r="B44" i="8"/>
  <c r="C43" i="8"/>
  <c r="B43" i="8"/>
  <c r="C42" i="8"/>
  <c r="B42" i="8"/>
  <c r="C41" i="8"/>
  <c r="G41" i="8" s="1"/>
  <c r="H41" i="8" s="1"/>
  <c r="I41" i="8" s="1"/>
  <c r="B41" i="8"/>
  <c r="C40" i="8"/>
  <c r="B40" i="8"/>
  <c r="C39" i="8"/>
  <c r="B39" i="8"/>
  <c r="C38" i="8"/>
  <c r="C44" i="8" s="1"/>
  <c r="B38" i="8"/>
  <c r="A37" i="8"/>
  <c r="B35" i="8"/>
  <c r="C34" i="8"/>
  <c r="B34" i="8"/>
  <c r="C33" i="8"/>
  <c r="B33" i="8"/>
  <c r="C32" i="8"/>
  <c r="B32" i="8"/>
  <c r="C31" i="8"/>
  <c r="B31" i="8"/>
  <c r="C30" i="8"/>
  <c r="G30" i="8" s="1"/>
  <c r="B30" i="8"/>
  <c r="A29" i="8"/>
  <c r="B27" i="8"/>
  <c r="C26" i="8"/>
  <c r="B26" i="8"/>
  <c r="C25" i="8"/>
  <c r="B25" i="8"/>
  <c r="C24" i="8"/>
  <c r="B24" i="8"/>
  <c r="C23" i="8"/>
  <c r="B23" i="8"/>
  <c r="C22" i="8"/>
  <c r="B22" i="8"/>
  <c r="C21" i="8"/>
  <c r="G21" i="8" s="1"/>
  <c r="H21" i="8" s="1"/>
  <c r="I21" i="8" s="1"/>
  <c r="B21" i="8"/>
  <c r="C20" i="8"/>
  <c r="C27" i="8" s="1"/>
  <c r="B20" i="8"/>
  <c r="A19" i="8"/>
  <c r="A18" i="8"/>
  <c r="B16" i="8"/>
  <c r="C15" i="8"/>
  <c r="B15" i="8"/>
  <c r="C14" i="8"/>
  <c r="B14" i="8"/>
  <c r="C13" i="8"/>
  <c r="B13" i="8"/>
  <c r="C12" i="8"/>
  <c r="B12" i="8"/>
  <c r="C11" i="8"/>
  <c r="G11" i="8" s="1"/>
  <c r="H11" i="8" s="1"/>
  <c r="I11" i="8" s="1"/>
  <c r="B11" i="8"/>
  <c r="C10" i="8"/>
  <c r="B10" i="8"/>
  <c r="C9" i="8"/>
  <c r="G9" i="8" s="1"/>
  <c r="H9" i="8" s="1"/>
  <c r="I9" i="8" s="1"/>
  <c r="B9" i="8"/>
  <c r="C8" i="8"/>
  <c r="B8" i="8"/>
  <c r="C7" i="8"/>
  <c r="B7" i="8"/>
  <c r="A6" i="8"/>
  <c r="A2" i="8"/>
  <c r="A1" i="8"/>
  <c r="K74" i="8"/>
  <c r="J74" i="8"/>
  <c r="K70" i="8"/>
  <c r="J70" i="8"/>
  <c r="K68" i="8"/>
  <c r="J68" i="8"/>
  <c r="G58" i="8"/>
  <c r="E58" i="8"/>
  <c r="E57" i="8"/>
  <c r="E56" i="8"/>
  <c r="F55" i="8"/>
  <c r="E55" i="8"/>
  <c r="G55" i="8" s="1"/>
  <c r="H55" i="8" s="1"/>
  <c r="I55" i="8" s="1"/>
  <c r="F54" i="8"/>
  <c r="E54" i="8"/>
  <c r="D80" i="8"/>
  <c r="C80" i="8" s="1"/>
  <c r="G53" i="8"/>
  <c r="H53" i="8" s="1"/>
  <c r="I53" i="8" s="1"/>
  <c r="E53" i="8"/>
  <c r="E52" i="8"/>
  <c r="E51" i="8"/>
  <c r="E50" i="8"/>
  <c r="E49" i="8"/>
  <c r="E48" i="8"/>
  <c r="F47" i="8"/>
  <c r="E47" i="8"/>
  <c r="C59" i="8"/>
  <c r="G43" i="8"/>
  <c r="H43" i="8" s="1"/>
  <c r="I43" i="8" s="1"/>
  <c r="E43" i="8"/>
  <c r="G42" i="8"/>
  <c r="H42" i="8" s="1"/>
  <c r="I42" i="8" s="1"/>
  <c r="E42" i="8"/>
  <c r="E41" i="8"/>
  <c r="E40" i="8"/>
  <c r="G39" i="8"/>
  <c r="H39" i="8" s="1"/>
  <c r="I39" i="8" s="1"/>
  <c r="E39" i="8"/>
  <c r="E38" i="8"/>
  <c r="E34" i="8"/>
  <c r="F33" i="8"/>
  <c r="E33" i="8"/>
  <c r="G33" i="8" s="1"/>
  <c r="H33" i="8" s="1"/>
  <c r="I33" i="8" s="1"/>
  <c r="G32" i="8"/>
  <c r="H32" i="8" s="1"/>
  <c r="I32" i="8" s="1"/>
  <c r="F32" i="8"/>
  <c r="E32" i="8"/>
  <c r="G31" i="8"/>
  <c r="H31" i="8" s="1"/>
  <c r="I31" i="8" s="1"/>
  <c r="E31" i="8"/>
  <c r="E30" i="8"/>
  <c r="E26" i="8"/>
  <c r="G25" i="8"/>
  <c r="E25" i="8"/>
  <c r="H25" i="8"/>
  <c r="I25" i="8" s="1"/>
  <c r="E24" i="8"/>
  <c r="E23" i="8"/>
  <c r="F22" i="8"/>
  <c r="E22" i="8"/>
  <c r="G22" i="8" s="1"/>
  <c r="H22" i="8" s="1"/>
  <c r="I22" i="8" s="1"/>
  <c r="F21" i="8"/>
  <c r="E21" i="8"/>
  <c r="G20" i="8"/>
  <c r="E20" i="8"/>
  <c r="E15" i="8"/>
  <c r="E14" i="8"/>
  <c r="F13" i="8"/>
  <c r="E13" i="8"/>
  <c r="G12" i="8"/>
  <c r="H12" i="8" s="1"/>
  <c r="I12" i="8" s="1"/>
  <c r="E12" i="8"/>
  <c r="E11" i="8"/>
  <c r="O10" i="8"/>
  <c r="F50" i="8" s="1"/>
  <c r="F10" i="8"/>
  <c r="E10" i="8"/>
  <c r="O9" i="8"/>
  <c r="F34" i="8" s="1"/>
  <c r="F9" i="8"/>
  <c r="E9" i="8"/>
  <c r="O8" i="8"/>
  <c r="F26" i="8" s="1"/>
  <c r="F8" i="8"/>
  <c r="E8" i="8"/>
  <c r="R7" i="8"/>
  <c r="O7" i="8"/>
  <c r="F20" i="8" s="1"/>
  <c r="F7" i="8"/>
  <c r="E7" i="8"/>
  <c r="O6" i="8"/>
  <c r="F53" i="8" s="1"/>
  <c r="W56" i="5"/>
  <c r="W55" i="5"/>
  <c r="W54" i="5"/>
  <c r="W53" i="5"/>
  <c r="W52" i="5"/>
  <c r="W51" i="5"/>
  <c r="C2" i="6"/>
  <c r="AB56" i="5"/>
  <c r="AB55" i="5"/>
  <c r="AB52" i="5"/>
  <c r="C16" i="8" l="1"/>
  <c r="G47" i="8"/>
  <c r="G13" i="8"/>
  <c r="H13" i="8" s="1"/>
  <c r="I13" i="8" s="1"/>
  <c r="K11" i="8"/>
  <c r="K25" i="8"/>
  <c r="H34" i="8"/>
  <c r="I34" i="8" s="1"/>
  <c r="K43" i="8"/>
  <c r="G10" i="8"/>
  <c r="H10" i="8" s="1"/>
  <c r="I10" i="8" s="1"/>
  <c r="K32" i="8"/>
  <c r="K58" i="8"/>
  <c r="K12" i="8"/>
  <c r="H40" i="8"/>
  <c r="I40" i="8" s="1"/>
  <c r="K31" i="8"/>
  <c r="K33" i="8"/>
  <c r="H47" i="8"/>
  <c r="K52" i="8"/>
  <c r="K9" i="8"/>
  <c r="K41" i="8"/>
  <c r="K13" i="8"/>
  <c r="H30" i="8"/>
  <c r="G35" i="8"/>
  <c r="K39" i="8"/>
  <c r="K55" i="8"/>
  <c r="K53" i="8"/>
  <c r="K21" i="8"/>
  <c r="K42" i="8"/>
  <c r="K22" i="8"/>
  <c r="K50" i="8"/>
  <c r="F43" i="8"/>
  <c r="F23" i="8"/>
  <c r="F48" i="8"/>
  <c r="F56" i="8"/>
  <c r="H20" i="8"/>
  <c r="C35" i="8"/>
  <c r="C61" i="8" s="1"/>
  <c r="C66" i="8" s="1"/>
  <c r="C67" i="8" s="1"/>
  <c r="C69" i="8" s="1"/>
  <c r="G7" i="8"/>
  <c r="H7" i="8" s="1"/>
  <c r="F14" i="8"/>
  <c r="G23" i="8"/>
  <c r="F24" i="8"/>
  <c r="G34" i="8"/>
  <c r="F38" i="8"/>
  <c r="G48" i="8"/>
  <c r="F49" i="8"/>
  <c r="G56" i="8"/>
  <c r="H56" i="8" s="1"/>
  <c r="I56" i="8" s="1"/>
  <c r="F57" i="8"/>
  <c r="G14" i="8"/>
  <c r="H14" i="8" s="1"/>
  <c r="I14" i="8" s="1"/>
  <c r="G24" i="8"/>
  <c r="H24" i="8" s="1"/>
  <c r="I24" i="8" s="1"/>
  <c r="F25" i="8"/>
  <c r="G38" i="8"/>
  <c r="G44" i="8" s="1"/>
  <c r="F39" i="8"/>
  <c r="G49" i="8"/>
  <c r="H49" i="8" s="1"/>
  <c r="I49" i="8" s="1"/>
  <c r="G57" i="8"/>
  <c r="H57" i="8" s="1"/>
  <c r="I57" i="8" s="1"/>
  <c r="F58" i="8"/>
  <c r="F15" i="8"/>
  <c r="F40" i="8"/>
  <c r="F51" i="8"/>
  <c r="G8" i="8"/>
  <c r="H8" i="8" s="1"/>
  <c r="I8" i="8" s="1"/>
  <c r="F11" i="8"/>
  <c r="G15" i="8"/>
  <c r="H15" i="8" s="1"/>
  <c r="I15" i="8" s="1"/>
  <c r="G26" i="8"/>
  <c r="H26" i="8" s="1"/>
  <c r="I26" i="8" s="1"/>
  <c r="F30" i="8"/>
  <c r="G40" i="8"/>
  <c r="F41" i="8"/>
  <c r="G51" i="8"/>
  <c r="H51" i="8" s="1"/>
  <c r="I51" i="8" s="1"/>
  <c r="F52" i="8"/>
  <c r="F12" i="8"/>
  <c r="F31" i="8"/>
  <c r="F42" i="8"/>
  <c r="D59" i="4"/>
  <c r="D58" i="4"/>
  <c r="D57" i="4"/>
  <c r="D56" i="4"/>
  <c r="D48" i="4"/>
  <c r="D45" i="4"/>
  <c r="D41" i="4"/>
  <c r="D40" i="4"/>
  <c r="D39" i="4"/>
  <c r="D38" i="4"/>
  <c r="D29" i="4"/>
  <c r="D28" i="4"/>
  <c r="D27" i="4"/>
  <c r="D26" i="4"/>
  <c r="D22" i="4"/>
  <c r="D21" i="4"/>
  <c r="D20" i="4"/>
  <c r="D19" i="4"/>
  <c r="D18" i="4"/>
  <c r="D17" i="4"/>
  <c r="D16" i="4"/>
  <c r="D15" i="4"/>
  <c r="D14" i="4"/>
  <c r="D13" i="4"/>
  <c r="D12" i="4"/>
  <c r="D11" i="4"/>
  <c r="D10" i="4"/>
  <c r="D9" i="4"/>
  <c r="D8" i="4"/>
  <c r="D7" i="4"/>
  <c r="D6" i="4"/>
  <c r="D5" i="4"/>
  <c r="D53" i="4"/>
  <c r="D35" i="4"/>
  <c r="D25" i="4"/>
  <c r="D32" i="4" s="1"/>
  <c r="C53" i="4"/>
  <c r="B53" i="4"/>
  <c r="C35" i="4"/>
  <c r="B35" i="4"/>
  <c r="S56" i="5"/>
  <c r="S55" i="5"/>
  <c r="S54" i="5"/>
  <c r="S53" i="5"/>
  <c r="S52" i="5"/>
  <c r="S51" i="5"/>
  <c r="O56" i="5"/>
  <c r="O55" i="5"/>
  <c r="Y55" i="5" s="1"/>
  <c r="AA55" i="5" s="1"/>
  <c r="O54" i="5"/>
  <c r="O53" i="5"/>
  <c r="O52" i="5"/>
  <c r="O51" i="5"/>
  <c r="K56" i="5"/>
  <c r="K55" i="5"/>
  <c r="K54" i="5"/>
  <c r="K53" i="5"/>
  <c r="K52" i="5"/>
  <c r="K51" i="5"/>
  <c r="P44" i="5"/>
  <c r="Q44" i="5"/>
  <c r="R44" i="5"/>
  <c r="L44" i="5"/>
  <c r="M44" i="5"/>
  <c r="N44" i="5"/>
  <c r="H44" i="5"/>
  <c r="I44" i="5"/>
  <c r="J44" i="5"/>
  <c r="L35" i="5"/>
  <c r="M35" i="5"/>
  <c r="N35" i="5"/>
  <c r="H35" i="5"/>
  <c r="I35" i="5"/>
  <c r="J35" i="5"/>
  <c r="P35" i="5"/>
  <c r="Q35" i="5"/>
  <c r="R35" i="5"/>
  <c r="P27" i="5"/>
  <c r="Q27" i="5"/>
  <c r="R27" i="5"/>
  <c r="L27" i="5"/>
  <c r="M27" i="5"/>
  <c r="N27" i="5"/>
  <c r="H27" i="5"/>
  <c r="I27" i="5"/>
  <c r="J27" i="5"/>
  <c r="H16" i="5"/>
  <c r="I16" i="5"/>
  <c r="J16" i="5"/>
  <c r="L16" i="5"/>
  <c r="M16" i="5"/>
  <c r="N16" i="5"/>
  <c r="P16" i="5"/>
  <c r="Q16" i="5"/>
  <c r="R16" i="5"/>
  <c r="T16" i="5"/>
  <c r="U16" i="5"/>
  <c r="V16" i="5"/>
  <c r="H59" i="5"/>
  <c r="I59" i="5"/>
  <c r="J59" i="5"/>
  <c r="L59" i="5"/>
  <c r="M59" i="5"/>
  <c r="N59" i="5"/>
  <c r="P59" i="5"/>
  <c r="Q59" i="5"/>
  <c r="R59" i="5"/>
  <c r="T59" i="5"/>
  <c r="U59" i="5"/>
  <c r="V59" i="5"/>
  <c r="T44" i="5"/>
  <c r="U44" i="5"/>
  <c r="V44" i="5"/>
  <c r="T35" i="5"/>
  <c r="U35" i="5"/>
  <c r="V35" i="5"/>
  <c r="T27" i="5"/>
  <c r="U27" i="5"/>
  <c r="V27" i="5"/>
  <c r="D59" i="5"/>
  <c r="D44" i="5"/>
  <c r="D35" i="5"/>
  <c r="D27" i="5"/>
  <c r="K40" i="5"/>
  <c r="O40" i="5"/>
  <c r="S40" i="5"/>
  <c r="W40" i="5"/>
  <c r="K39" i="5"/>
  <c r="O39" i="5"/>
  <c r="S39" i="5"/>
  <c r="W39" i="5"/>
  <c r="K14" i="5"/>
  <c r="O14" i="5"/>
  <c r="S14" i="5"/>
  <c r="W14" i="5"/>
  <c r="D16" i="5"/>
  <c r="A2" i="5"/>
  <c r="A2" i="4"/>
  <c r="A1" i="4"/>
  <c r="A1" i="5"/>
  <c r="B60" i="4"/>
  <c r="B42" i="4"/>
  <c r="B23" i="4"/>
  <c r="I5" i="5"/>
  <c r="J5" i="5" s="1"/>
  <c r="K5" i="5" s="1"/>
  <c r="L5" i="5" s="1"/>
  <c r="M5" i="5" s="1"/>
  <c r="N5" i="5" s="1"/>
  <c r="O5" i="5" s="1"/>
  <c r="P5" i="5" s="1"/>
  <c r="Q5" i="5" s="1"/>
  <c r="R5" i="5" s="1"/>
  <c r="S5" i="5" s="1"/>
  <c r="T5" i="5" s="1"/>
  <c r="U5" i="5" s="1"/>
  <c r="V5" i="5" s="1"/>
  <c r="W5" i="5" s="1"/>
  <c r="F27" i="5"/>
  <c r="W33" i="5"/>
  <c r="S33" i="5"/>
  <c r="O33" i="5"/>
  <c r="K33" i="5"/>
  <c r="W58" i="5"/>
  <c r="S58" i="5"/>
  <c r="O58" i="5"/>
  <c r="K58" i="5"/>
  <c r="W57" i="5"/>
  <c r="S57" i="5"/>
  <c r="O57" i="5"/>
  <c r="K57" i="5"/>
  <c r="W50" i="5"/>
  <c r="S50" i="5"/>
  <c r="O50" i="5"/>
  <c r="K50" i="5"/>
  <c r="W49" i="5"/>
  <c r="S49" i="5"/>
  <c r="O49" i="5"/>
  <c r="K49" i="5"/>
  <c r="W48" i="5"/>
  <c r="S48" i="5"/>
  <c r="O48" i="5"/>
  <c r="K48" i="5"/>
  <c r="W47" i="5"/>
  <c r="S47" i="5"/>
  <c r="O47" i="5"/>
  <c r="K47" i="5"/>
  <c r="W43" i="5"/>
  <c r="S43" i="5"/>
  <c r="O43" i="5"/>
  <c r="K43" i="5"/>
  <c r="W42" i="5"/>
  <c r="S42" i="5"/>
  <c r="O42" i="5"/>
  <c r="K42" i="5"/>
  <c r="W41" i="5"/>
  <c r="S41" i="5"/>
  <c r="O41" i="5"/>
  <c r="K41" i="5"/>
  <c r="W38" i="5"/>
  <c r="S38" i="5"/>
  <c r="O38" i="5"/>
  <c r="K38" i="5"/>
  <c r="W34" i="5"/>
  <c r="S34" i="5"/>
  <c r="O34" i="5"/>
  <c r="K34" i="5"/>
  <c r="W32" i="5"/>
  <c r="S32" i="5"/>
  <c r="O32" i="5"/>
  <c r="K32" i="5"/>
  <c r="W31" i="5"/>
  <c r="S31" i="5"/>
  <c r="O31" i="5"/>
  <c r="K31" i="5"/>
  <c r="W30" i="5"/>
  <c r="S30" i="5"/>
  <c r="O30" i="5"/>
  <c r="K30" i="5"/>
  <c r="W26" i="5"/>
  <c r="S26" i="5"/>
  <c r="O26" i="5"/>
  <c r="K26" i="5"/>
  <c r="W25" i="5"/>
  <c r="S25" i="5"/>
  <c r="O25" i="5"/>
  <c r="K25" i="5"/>
  <c r="W24" i="5"/>
  <c r="S24" i="5"/>
  <c r="O24" i="5"/>
  <c r="K24" i="5"/>
  <c r="W23" i="5"/>
  <c r="S23" i="5"/>
  <c r="O23" i="5"/>
  <c r="K23" i="5"/>
  <c r="W22" i="5"/>
  <c r="S22" i="5"/>
  <c r="O22" i="5"/>
  <c r="K22" i="5"/>
  <c r="W21" i="5"/>
  <c r="S21" i="5"/>
  <c r="O21" i="5"/>
  <c r="K21" i="5"/>
  <c r="W20" i="5"/>
  <c r="S20" i="5"/>
  <c r="O20" i="5"/>
  <c r="K20" i="5"/>
  <c r="W15" i="5"/>
  <c r="S15" i="5"/>
  <c r="O15" i="5"/>
  <c r="K15" i="5"/>
  <c r="W13" i="5"/>
  <c r="S13" i="5"/>
  <c r="O13" i="5"/>
  <c r="K13" i="5"/>
  <c r="W12" i="5"/>
  <c r="S12" i="5"/>
  <c r="O12" i="5"/>
  <c r="K12" i="5"/>
  <c r="W11" i="5"/>
  <c r="S11" i="5"/>
  <c r="O11" i="5"/>
  <c r="K11" i="5"/>
  <c r="W10" i="5"/>
  <c r="S10" i="5"/>
  <c r="O10" i="5"/>
  <c r="K10" i="5"/>
  <c r="W9" i="5"/>
  <c r="S9" i="5"/>
  <c r="O9" i="5"/>
  <c r="K9" i="5"/>
  <c r="W8" i="5"/>
  <c r="S8" i="5"/>
  <c r="O8" i="5"/>
  <c r="K8" i="5"/>
  <c r="W7" i="5"/>
  <c r="S7" i="5"/>
  <c r="O7" i="5"/>
  <c r="K7" i="5"/>
  <c r="B30" i="4"/>
  <c r="C30" i="4"/>
  <c r="C25" i="4"/>
  <c r="C32" i="4" s="1"/>
  <c r="C37" i="4" s="1"/>
  <c r="B25" i="4"/>
  <c r="B32" i="4" s="1"/>
  <c r="C60" i="4"/>
  <c r="C42" i="4"/>
  <c r="C23" i="4"/>
  <c r="G27" i="8" l="1"/>
  <c r="K14" i="8"/>
  <c r="K57" i="8"/>
  <c r="K56" i="8"/>
  <c r="C75" i="8"/>
  <c r="C71" i="8"/>
  <c r="C72" i="8" s="1"/>
  <c r="K26" i="8"/>
  <c r="K15" i="8"/>
  <c r="K49" i="8"/>
  <c r="K8" i="8"/>
  <c r="H16" i="8"/>
  <c r="I7" i="8"/>
  <c r="K51" i="8"/>
  <c r="K10" i="8"/>
  <c r="H35" i="8"/>
  <c r="I30" i="8"/>
  <c r="K34" i="8"/>
  <c r="G16" i="8"/>
  <c r="I47" i="8"/>
  <c r="K40" i="8"/>
  <c r="H23" i="8"/>
  <c r="I23" i="8" s="1"/>
  <c r="K24" i="8"/>
  <c r="H48" i="8"/>
  <c r="I48" i="8" s="1"/>
  <c r="H27" i="8"/>
  <c r="I20" i="8"/>
  <c r="C62" i="8"/>
  <c r="C64" i="8" s="1"/>
  <c r="H38" i="8"/>
  <c r="Y14" i="5"/>
  <c r="AA14" i="5" s="1"/>
  <c r="AB14" i="5" s="1"/>
  <c r="O59" i="5"/>
  <c r="Y56" i="5"/>
  <c r="AA56" i="5" s="1"/>
  <c r="Y57" i="5"/>
  <c r="AA57" i="5" s="1"/>
  <c r="AB57" i="5" s="1"/>
  <c r="Y33" i="5"/>
  <c r="AA33" i="5" s="1"/>
  <c r="AB33" i="5" s="1"/>
  <c r="Y40" i="5"/>
  <c r="AA40" i="5" s="1"/>
  <c r="AB40" i="5" s="1"/>
  <c r="W16" i="5"/>
  <c r="Y54" i="5"/>
  <c r="AA54" i="5" s="1"/>
  <c r="AB54" i="5" s="1"/>
  <c r="Y41" i="5"/>
  <c r="AA41" i="5" s="1"/>
  <c r="AB41" i="5" s="1"/>
  <c r="W44" i="5"/>
  <c r="Y31" i="5"/>
  <c r="AA31" i="5" s="1"/>
  <c r="AB31" i="5" s="1"/>
  <c r="O35" i="5"/>
  <c r="Y53" i="5"/>
  <c r="AA53" i="5" s="1"/>
  <c r="AB53" i="5" s="1"/>
  <c r="K44" i="5"/>
  <c r="Y49" i="5"/>
  <c r="AA49" i="5" s="1"/>
  <c r="AB49" i="5" s="1"/>
  <c r="Y10" i="5"/>
  <c r="AA10" i="5" s="1"/>
  <c r="AB10" i="5" s="1"/>
  <c r="K59" i="5"/>
  <c r="O44" i="5"/>
  <c r="S35" i="5"/>
  <c r="Y42" i="5"/>
  <c r="AA42" i="5" s="1"/>
  <c r="AB42" i="5" s="1"/>
  <c r="Y39" i="5"/>
  <c r="AA39" i="5" s="1"/>
  <c r="AB39" i="5" s="1"/>
  <c r="D60" i="4"/>
  <c r="W59" i="5"/>
  <c r="Y58" i="5"/>
  <c r="AA58" i="5" s="1"/>
  <c r="AB58" i="5" s="1"/>
  <c r="Y50" i="5"/>
  <c r="AA50" i="5" s="1"/>
  <c r="AB50" i="5" s="1"/>
  <c r="Y48" i="5"/>
  <c r="AA48" i="5" s="1"/>
  <c r="AB48" i="5" s="1"/>
  <c r="Y43" i="5"/>
  <c r="AA43" i="5" s="1"/>
  <c r="AB43" i="5" s="1"/>
  <c r="V61" i="5"/>
  <c r="V62" i="5" s="1"/>
  <c r="V64" i="5" s="1"/>
  <c r="U61" i="5"/>
  <c r="U62" i="5" s="1"/>
  <c r="U64" i="5" s="1"/>
  <c r="W35" i="5"/>
  <c r="S44" i="5"/>
  <c r="Q61" i="5"/>
  <c r="Q62" i="5" s="1"/>
  <c r="Q64" i="5" s="1"/>
  <c r="Y32" i="5"/>
  <c r="AA32" i="5" s="1"/>
  <c r="AB32" i="5" s="1"/>
  <c r="N61" i="5"/>
  <c r="N62" i="5" s="1"/>
  <c r="N64" i="5" s="1"/>
  <c r="Y34" i="5"/>
  <c r="AA34" i="5" s="1"/>
  <c r="AB34" i="5" s="1"/>
  <c r="Y51" i="5"/>
  <c r="AA51" i="5" s="1"/>
  <c r="AB51" i="5" s="1"/>
  <c r="Y52" i="5"/>
  <c r="AA52" i="5" s="1"/>
  <c r="I61" i="5"/>
  <c r="I62" i="5" s="1"/>
  <c r="I64" i="5" s="1"/>
  <c r="J61" i="5"/>
  <c r="J62" i="5" s="1"/>
  <c r="J64" i="5" s="1"/>
  <c r="Y38" i="5"/>
  <c r="AA38" i="5" s="1"/>
  <c r="AB38" i="5" s="1"/>
  <c r="L61" i="5"/>
  <c r="L62" i="5" s="1"/>
  <c r="L64" i="5" s="1"/>
  <c r="Y30" i="5"/>
  <c r="AA30" i="5" s="1"/>
  <c r="AB30" i="5" s="1"/>
  <c r="Y22" i="5"/>
  <c r="AA22" i="5" s="1"/>
  <c r="AB22" i="5" s="1"/>
  <c r="Y26" i="5"/>
  <c r="AA26" i="5" s="1"/>
  <c r="AB26" i="5" s="1"/>
  <c r="Y23" i="5"/>
  <c r="AA23" i="5" s="1"/>
  <c r="AB23" i="5" s="1"/>
  <c r="Y21" i="5"/>
  <c r="AA21" i="5" s="1"/>
  <c r="AB21" i="5" s="1"/>
  <c r="W27" i="5"/>
  <c r="S27" i="5"/>
  <c r="Y25" i="5"/>
  <c r="AA25" i="5" s="1"/>
  <c r="AB25" i="5" s="1"/>
  <c r="R61" i="5"/>
  <c r="R62" i="5" s="1"/>
  <c r="R64" i="5" s="1"/>
  <c r="O27" i="5"/>
  <c r="Y24" i="5"/>
  <c r="AA24" i="5" s="1"/>
  <c r="AB24" i="5" s="1"/>
  <c r="M61" i="5"/>
  <c r="M62" i="5" s="1"/>
  <c r="M64" i="5" s="1"/>
  <c r="H61" i="5"/>
  <c r="H62" i="5" s="1"/>
  <c r="H64" i="5" s="1"/>
  <c r="Y20" i="5"/>
  <c r="AA20" i="5" s="1"/>
  <c r="AB20" i="5" s="1"/>
  <c r="K27" i="5"/>
  <c r="Y47" i="5"/>
  <c r="AA47" i="5" s="1"/>
  <c r="AB47" i="5" s="1"/>
  <c r="T61" i="5"/>
  <c r="T62" i="5" s="1"/>
  <c r="T64" i="5" s="1"/>
  <c r="P61" i="5"/>
  <c r="P62" i="5" s="1"/>
  <c r="P64" i="5" s="1"/>
  <c r="K35" i="5"/>
  <c r="Y11" i="5"/>
  <c r="AA11" i="5" s="1"/>
  <c r="AB11" i="5" s="1"/>
  <c r="Y15" i="5"/>
  <c r="AA15" i="5" s="1"/>
  <c r="AB15" i="5" s="1"/>
  <c r="Y9" i="5"/>
  <c r="AA9" i="5" s="1"/>
  <c r="AB9" i="5" s="1"/>
  <c r="S16" i="5"/>
  <c r="Y7" i="5"/>
  <c r="AA7" i="5" s="1"/>
  <c r="AB7" i="5" s="1"/>
  <c r="Y13" i="5"/>
  <c r="AA13" i="5" s="1"/>
  <c r="AB13" i="5" s="1"/>
  <c r="Y12" i="5"/>
  <c r="AA12" i="5" s="1"/>
  <c r="AB12" i="5" s="1"/>
  <c r="O16" i="5"/>
  <c r="Y8" i="5"/>
  <c r="AA8" i="5" s="1"/>
  <c r="AB8" i="5" s="1"/>
  <c r="D61" i="5"/>
  <c r="D62" i="5" s="1"/>
  <c r="D42" i="4"/>
  <c r="D30" i="4"/>
  <c r="S59" i="5"/>
  <c r="K16" i="5"/>
  <c r="D23" i="4"/>
  <c r="D44" i="4"/>
  <c r="D37" i="4"/>
  <c r="B37" i="4"/>
  <c r="B44" i="4"/>
  <c r="C44" i="4"/>
  <c r="I27" i="8" l="1"/>
  <c r="K20" i="8"/>
  <c r="K47" i="8"/>
  <c r="I16" i="8"/>
  <c r="K7" i="8"/>
  <c r="R8" i="8" s="1"/>
  <c r="G54" i="8"/>
  <c r="K23" i="8"/>
  <c r="I35" i="8"/>
  <c r="K30" i="8"/>
  <c r="K35" i="8" s="1"/>
  <c r="K48" i="8"/>
  <c r="H44" i="8"/>
  <c r="I38" i="8"/>
  <c r="Y44" i="5"/>
  <c r="AA44" i="5" s="1"/>
  <c r="AB44" i="5" s="1"/>
  <c r="O61" i="5"/>
  <c r="W61" i="5"/>
  <c r="W62" i="5" s="1"/>
  <c r="W64" i="5" s="1"/>
  <c r="Y35" i="5"/>
  <c r="AA35" i="5" s="1"/>
  <c r="AB35" i="5" s="1"/>
  <c r="Y27" i="5"/>
  <c r="AA27" i="5" s="1"/>
  <c r="AB27" i="5" s="1"/>
  <c r="K61" i="5"/>
  <c r="K62" i="5" s="1"/>
  <c r="O62" i="5"/>
  <c r="O64" i="5" s="1"/>
  <c r="D64" i="5"/>
  <c r="Y59" i="5"/>
  <c r="AA59" i="5" s="1"/>
  <c r="AB59" i="5" s="1"/>
  <c r="S61" i="5"/>
  <c r="Y16" i="5"/>
  <c r="AA16" i="5" s="1"/>
  <c r="AB16" i="5" s="1"/>
  <c r="D55" i="4"/>
  <c r="D47" i="4"/>
  <c r="D50" i="4" s="1"/>
  <c r="C55" i="4"/>
  <c r="C47" i="4"/>
  <c r="C50" i="4" s="1"/>
  <c r="B47" i="4"/>
  <c r="B50" i="4" s="1"/>
  <c r="B55" i="4"/>
  <c r="K16" i="8" l="1"/>
  <c r="K27" i="8"/>
  <c r="K38" i="8"/>
  <c r="K44" i="8" s="1"/>
  <c r="I44" i="8"/>
  <c r="H54" i="8"/>
  <c r="G59" i="8"/>
  <c r="G61" i="8" s="1"/>
  <c r="G62" i="8" s="1"/>
  <c r="S62" i="5"/>
  <c r="S64" i="5" s="1"/>
  <c r="Y61" i="5"/>
  <c r="AA61" i="5" s="1"/>
  <c r="AB61" i="5" s="1"/>
  <c r="K64" i="5"/>
  <c r="R9" i="8" l="1"/>
  <c r="I54" i="8"/>
  <c r="H59" i="8"/>
  <c r="H61" i="8" s="1"/>
  <c r="H62" i="8" s="1"/>
  <c r="H64" i="8" s="1"/>
  <c r="G64" i="8"/>
  <c r="Y62" i="5"/>
  <c r="AA62" i="5" s="1"/>
  <c r="AB62" i="5" s="1"/>
  <c r="Y64" i="5"/>
  <c r="AA64" i="5" s="1"/>
  <c r="AB64" i="5" s="1"/>
  <c r="K54" i="8" l="1"/>
  <c r="K59" i="8" s="1"/>
  <c r="K61" i="8" s="1"/>
  <c r="I59" i="8"/>
  <c r="I61" i="8" s="1"/>
  <c r="I62" i="8" s="1"/>
  <c r="I64" i="8" l="1"/>
  <c r="J1" i="8"/>
  <c r="K66" i="8"/>
  <c r="K67" i="8" s="1"/>
  <c r="K69" i="8" s="1"/>
  <c r="K62" i="8"/>
  <c r="K64" i="8" s="1"/>
  <c r="K75" i="8" l="1"/>
  <c r="K71" i="8"/>
  <c r="K72" i="8" s="1"/>
  <c r="J9" i="8"/>
  <c r="J53" i="8"/>
  <c r="J21" i="8"/>
  <c r="J11" i="8"/>
  <c r="J12" i="8"/>
  <c r="J33" i="8"/>
  <c r="J41" i="8"/>
  <c r="J25" i="8"/>
  <c r="J22" i="8"/>
  <c r="J32" i="8"/>
  <c r="J13" i="8"/>
  <c r="J55" i="8"/>
  <c r="J52" i="8"/>
  <c r="J50" i="8"/>
  <c r="J58" i="8"/>
  <c r="J43" i="8"/>
  <c r="J31" i="8"/>
  <c r="J39" i="8"/>
  <c r="J42" i="8"/>
  <c r="J14" i="8"/>
  <c r="J26" i="8"/>
  <c r="J57" i="8"/>
  <c r="J24" i="8"/>
  <c r="J15" i="8"/>
  <c r="J34" i="8"/>
  <c r="J51" i="8"/>
  <c r="J56" i="8"/>
  <c r="J49" i="8"/>
  <c r="J10" i="8"/>
  <c r="J8" i="8"/>
  <c r="J40" i="8"/>
  <c r="J20" i="8"/>
  <c r="J30" i="8"/>
  <c r="J23" i="8"/>
  <c r="J7" i="8"/>
  <c r="J48" i="8"/>
  <c r="J47" i="8"/>
  <c r="J38" i="8"/>
  <c r="J44" i="8" s="1"/>
  <c r="J54" i="8"/>
  <c r="J59" i="8" l="1"/>
  <c r="J27" i="8"/>
  <c r="J16" i="8"/>
  <c r="J35" i="8"/>
  <c r="J61" i="8" l="1"/>
  <c r="J66" i="8" s="1"/>
  <c r="J67" i="8" s="1"/>
  <c r="J69" i="8" s="1"/>
  <c r="J75" i="8" l="1"/>
  <c r="J71" i="8"/>
  <c r="J72" i="8" s="1"/>
  <c r="J62" i="8"/>
  <c r="J6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1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tc={1FE4C607-D3B2-4141-95A9-0261E665AD90}</author>
  </authors>
  <commentList>
    <comment ref="D5" authorId="0" shapeId="0" xr:uid="{1FE4C607-D3B2-4141-95A9-0261E665AD90}">
      <text>
        <t>[Threaded comment]
Your version of Excel allows you to read this threaded comment; however, any edits to it will get removed if the file is opened in a newer version of Excel. Learn more: https://go.microsoft.com/fwlink/?linkid=870924
Comment:
    If “Budget” is selected, the amounts in this column should tie to the amounts in the published FY21 Budget. If “Projected” is selected, the amounts in this column should be the latest projected amounts you have for FY21.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tc={5360BDB9-428D-D445-8286-D6A42DDDDD4C}</author>
    <author>tc={40FC1C70-A6CF-CC4E-A702-B2F7C2458643}</author>
  </authors>
  <commentList>
    <comment ref="G10" authorId="0" shapeId="0" xr:uid="{5360BDB9-428D-D445-8286-D6A42DDDDD4C}">
      <text>
        <t>[Threaded comment]
Your version of Excel allows you to read this threaded comment; however, any edits to it will get removed if the file is opened in a newer version of Excel. Learn more: https://go.microsoft.com/fwlink/?linkid=870924
Comment:
    Imputed PPP and ESSER</t>
      </text>
    </comment>
    <comment ref="D38" authorId="1" shapeId="0" xr:uid="{40FC1C70-A6CF-CC4E-A702-B2F7C2458643}">
      <text>
        <t>[Threaded comment]
Your version of Excel allows you to read this threaded comment; however, any edits to it will get removed if the file is opened in a newer version of Excel. Learn more: https://go.microsoft.com/fwlink/?linkid=870924
Comment:
    Change to Variable if rent is per pupil</t>
      </text>
    </comment>
  </commentList>
</comments>
</file>

<file path=xl/sharedStrings.xml><?xml version="1.0" encoding="utf-8"?>
<sst xmlns="http://schemas.openxmlformats.org/spreadsheetml/2006/main" count="312" uniqueCount="251">
  <si>
    <t>Budget</t>
  </si>
  <si>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</si>
  <si>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</si>
  <si>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</si>
  <si>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</si>
  <si>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</si>
  <si>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</si>
  <si>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</si>
  <si>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</si>
  <si>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</si>
  <si>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</si>
  <si>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</si>
  <si>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</si>
  <si>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</si>
  <si>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</si>
  <si>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</si>
  <si>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</si>
  <si>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</si>
  <si>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</si>
  <si>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</si>
  <si>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</si>
  <si>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</si>
  <si>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</si>
  <si>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</si>
  <si>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</si>
  <si>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</si>
  <si>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</si>
  <si>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</si>
  <si>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</si>
  <si>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</si>
  <si>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</si>
  <si>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</si>
  <si>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</si>
  <si>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</si>
  <si>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</si>
  <si>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</si>
  <si>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</si>
  <si>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</si>
  <si>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</si>
  <si>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</si>
  <si>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</si>
  <si>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</si>
  <si>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</si>
  <si>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</si>
  <si>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</si>
  <si>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</si>
  <si>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</si>
  <si>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</si>
  <si>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</si>
  <si>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</si>
  <si>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</si>
  <si>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</si>
  <si>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Special Education</t>
  </si>
  <si>
    <t>Level 1</t>
  </si>
  <si>
    <t>Level 2</t>
  </si>
  <si>
    <t>Level 3</t>
  </si>
  <si>
    <t>Level 4</t>
  </si>
  <si>
    <t>Subtotal  for Special Ed</t>
  </si>
  <si>
    <t>Special Education-Residential</t>
  </si>
  <si>
    <t>Level 1 Residential</t>
  </si>
  <si>
    <t>Level 2 Residential</t>
  </si>
  <si>
    <t>Level 3 Residential</t>
  </si>
  <si>
    <t>Level 4 Residential</t>
  </si>
  <si>
    <t>Subtotal  for Special Ed Residential</t>
  </si>
  <si>
    <t>LEP/NEP Residential</t>
  </si>
  <si>
    <t>Residential</t>
  </si>
  <si>
    <t>Special Education Add-ons (ESY)</t>
  </si>
  <si>
    <t>Level 1 ESY</t>
  </si>
  <si>
    <t>Level 2 ESY</t>
  </si>
  <si>
    <t>Level 3 ESY</t>
  </si>
  <si>
    <t>Level 4 ESY</t>
  </si>
  <si>
    <t>Subtotal  for Special Ed - ESY</t>
  </si>
  <si>
    <t>Q1</t>
  </si>
  <si>
    <t>Q2</t>
  </si>
  <si>
    <t>Q3</t>
  </si>
  <si>
    <t>Q4</t>
  </si>
  <si>
    <t>No. of Positions</t>
  </si>
  <si>
    <t>Annual Budget</t>
  </si>
  <si>
    <t>At-Risk Students</t>
  </si>
  <si>
    <t>July</t>
  </si>
  <si>
    <t>August</t>
  </si>
  <si>
    <t>September</t>
  </si>
  <si>
    <t>October</t>
  </si>
  <si>
    <t>November</t>
  </si>
  <si>
    <t>December</t>
  </si>
  <si>
    <t>January</t>
  </si>
  <si>
    <t>February</t>
  </si>
  <si>
    <t>March</t>
  </si>
  <si>
    <t>April</t>
  </si>
  <si>
    <t>May</t>
  </si>
  <si>
    <t>June</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</si>
  <si>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</si>
  <si>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</si>
  <si>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</si>
  <si>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</si>
  <si>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</si>
  <si>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</si>
  <si>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</si>
  <si>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</si>
  <si>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</si>
  <si>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</si>
  <si>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</si>
  <si>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</si>
  <si>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</si>
  <si>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Federal Funding</t>
  </si>
  <si>
    <t>Administrative/Other Staff Salaries</t>
  </si>
  <si>
    <t>Employee Benefits and Payroll Taxes</t>
  </si>
  <si>
    <t>Educational Supplies and Textbooks</t>
  </si>
  <si>
    <t>Student Assessment Materials/Program Evaluation</t>
  </si>
  <si>
    <t>Other Direct Student Expense</t>
  </si>
  <si>
    <t>DC PCSB FY22 Budget Reporting Template</t>
  </si>
  <si>
    <t>FY22</t>
  </si>
  <si>
    <t>English Language Learners (ELL)</t>
  </si>
  <si>
    <t>All other grades</t>
  </si>
  <si>
    <t>Grades 9-12 Over-Age</t>
  </si>
  <si>
    <t>All other At-Risk</t>
  </si>
  <si>
    <t>New for FY22</t>
  </si>
  <si>
    <t>Subtotal for At-Risk</t>
  </si>
  <si>
    <t>Subtotal for ELL</t>
  </si>
  <si>
    <t>Subtotal for General Education</t>
  </si>
  <si>
    <t>ELL Residential</t>
  </si>
  <si>
    <t>FY21 Audited Enrollment</t>
  </si>
  <si>
    <t>FY22 Budgeted Enrollment</t>
  </si>
  <si>
    <t>Increase (Decrease)</t>
  </si>
  <si>
    <t>Grades 6-12</t>
  </si>
  <si>
    <t>CHANGE IN NET ASSETS</t>
  </si>
  <si>
    <t>OPERATING INCOME (LOSS)</t>
  </si>
  <si>
    <t>FY21</t>
  </si>
  <si>
    <t>FY22 - FY21</t>
  </si>
  <si>
    <t>Budget Change</t>
  </si>
  <si>
    <t>%</t>
  </si>
  <si>
    <t>YouthBuild DC PCS</t>
  </si>
  <si>
    <t>Washington Yu Ying PCS</t>
  </si>
  <si>
    <t>Washington Leadership Academy PCS</t>
  </si>
  <si>
    <t>Washington Latin PCS</t>
  </si>
  <si>
    <t>Washington Global PCS</t>
  </si>
  <si>
    <t>Two Rivers PCS</t>
  </si>
  <si>
    <t>Thurgood Marshall Academy PCS</t>
  </si>
  <si>
    <t>The Sojourner Truth School PCS</t>
  </si>
  <si>
    <t>The Next Step/El Proximo Paso PCS</t>
  </si>
  <si>
    <t>The Family Place PCS</t>
  </si>
  <si>
    <t>The Children's Guild DC PCS</t>
  </si>
  <si>
    <t>Statesmen College Preparatory Academy for Boys PCS</t>
  </si>
  <si>
    <t>St. Coletta Special Education PCS</t>
  </si>
  <si>
    <t>Somerset Preparatory Academy PCS</t>
  </si>
  <si>
    <t>Social Justice PCS</t>
  </si>
  <si>
    <t>Shining Stars Montessori Academy PCS</t>
  </si>
  <si>
    <t>Sela PCS</t>
  </si>
  <si>
    <t>SEED PCS</t>
  </si>
  <si>
    <t>Roots PCS</t>
  </si>
  <si>
    <t>Rocketship Education DC PCS</t>
  </si>
  <si>
    <t>Richard Wright PCS for Journalism and Media Arts</t>
  </si>
  <si>
    <t>Perry Street Preparatory PCS</t>
  </si>
  <si>
    <t>Paul PCS</t>
  </si>
  <si>
    <t>National Collegiate Preparatory PCHS</t>
  </si>
  <si>
    <t>Mundo Verde Bilingual PCS</t>
  </si>
  <si>
    <t>Monument Academy PCS</t>
  </si>
  <si>
    <t>Meridian PCS</t>
  </si>
  <si>
    <t>Maya Angelou PCS</t>
  </si>
  <si>
    <t>Mary McLeod Bethune Day Academy PCS</t>
  </si>
  <si>
    <t>Lee Montessori PCS</t>
  </si>
  <si>
    <t>LEARN DC PCS</t>
  </si>
  <si>
    <t>LAYC Career Academy PCS</t>
  </si>
  <si>
    <t>Latin American Montessori Bilingual PCS</t>
  </si>
  <si>
    <t>KIPP DC PCS</t>
  </si>
  <si>
    <t>Kingsman Academy PCS</t>
  </si>
  <si>
    <t>Inspired Teaching Demonstration PCS</t>
  </si>
  <si>
    <t>Ingenuity Prep PCS</t>
  </si>
  <si>
    <t>Ideal Academy PCS</t>
  </si>
  <si>
    <t>IDEA PCS</t>
  </si>
  <si>
    <t>I Dream PCS</t>
  </si>
  <si>
    <t>Howard University Middle School of Mathematics and Science PCS</t>
  </si>
  <si>
    <t>Hope Community PCS</t>
  </si>
  <si>
    <t>Harmony DC PCS</t>
  </si>
  <si>
    <t>Goodwill Excel Center PCS</t>
  </si>
  <si>
    <t>Global Citizens PCS</t>
  </si>
  <si>
    <t>Girls Global Academy PCS</t>
  </si>
  <si>
    <t>Friendship PCS</t>
  </si>
  <si>
    <t>Elsie Whitlow Stokes Community Freedom PCS</t>
  </si>
  <si>
    <t>Early Childhood Academy PCS</t>
  </si>
  <si>
    <t>Eagle Academy PCS</t>
  </si>
  <si>
    <t>E.L. Haynes PCS</t>
  </si>
  <si>
    <t>District of Columbia International School</t>
  </si>
  <si>
    <t>Digital Pioneers Academy PCS</t>
  </si>
  <si>
    <t>Democracy Prep Congress Heights PCS</t>
  </si>
  <si>
    <t>DC Scholars PCS</t>
  </si>
  <si>
    <t>DC Prep PCS</t>
  </si>
  <si>
    <t>DC Bilingual PCS</t>
  </si>
  <si>
    <t>Creative Minds International PCS</t>
  </si>
  <si>
    <t>Community College Preparatory Academy PCS</t>
  </si>
  <si>
    <t>City Arts &amp; Prep PCS</t>
  </si>
  <si>
    <t>Cesar Chavez PCS for Public Policy</t>
  </si>
  <si>
    <t>Center City PCS</t>
  </si>
  <si>
    <t>Cedar Tree Academy PCS</t>
  </si>
  <si>
    <t>Carlos Rosario International PCS</t>
  </si>
  <si>
    <t>Capital Village PCS</t>
  </si>
  <si>
    <t>Capital City PCS</t>
  </si>
  <si>
    <t>Briya PCS</t>
  </si>
  <si>
    <t>Bridges PCS</t>
  </si>
  <si>
    <t>Breakthrough Montessori PCS</t>
  </si>
  <si>
    <t>BASIS DC PCS</t>
  </si>
  <si>
    <t>AppleTree Early Learning PCS</t>
  </si>
  <si>
    <t>Achievement Preparatory Academy PCS</t>
  </si>
  <si>
    <t>Academy of Hope Adult PCS</t>
  </si>
  <si>
    <t>LEA ID</t>
  </si>
  <si>
    <t>LEA</t>
  </si>
  <si>
    <t>Select your LEA from the dropdown menu in cell B2 above and this automatically will populate cell C2.</t>
  </si>
  <si>
    <r>
      <t xml:space="preserve">Resave this file as </t>
    </r>
    <r>
      <rPr>
        <b/>
        <i/>
        <sz val="10"/>
        <color theme="1"/>
        <rFont val="Times New Roman"/>
        <family val="1"/>
      </rPr>
      <t xml:space="preserve">FY22 Budget </t>
    </r>
    <r>
      <rPr>
        <b/>
        <i/>
        <sz val="10"/>
        <color rgb="FFFF40FF"/>
        <rFont val="Times New Roman"/>
        <family val="1"/>
      </rPr>
      <t>LEA NAME</t>
    </r>
    <r>
      <rPr>
        <b/>
        <i/>
        <sz val="10"/>
        <color theme="1"/>
        <rFont val="Times New Roman"/>
        <family val="1"/>
      </rPr>
      <t>.xlsx</t>
    </r>
    <r>
      <rPr>
        <sz val="10"/>
        <color theme="1"/>
        <rFont val="Times New Roman"/>
        <family val="1"/>
      </rPr>
      <t xml:space="preserve">, with </t>
    </r>
    <r>
      <rPr>
        <sz val="10"/>
        <color rgb="FFFF40FF"/>
        <rFont val="Times New Roman"/>
        <family val="1"/>
      </rPr>
      <t>LEA NAME</t>
    </r>
    <r>
      <rPr>
        <sz val="10"/>
        <color theme="1"/>
        <rFont val="Times New Roman"/>
        <family val="1"/>
      </rPr>
      <t xml:space="preserve"> the exact name of the LEA in cell B2 above.</t>
    </r>
  </si>
  <si>
    <t>Resave this file.</t>
  </si>
  <si>
    <t>By July 28, 2021, upload this file to the Hub, validate it is saved in the Hub, and mark the budget task complete.</t>
  </si>
  <si>
    <t>INSTRUCTIONS TO BE FOLLOWED SEQUENTIALLY</t>
  </si>
  <si>
    <t>Enter the LEA contact name, email address, and phone number to replace the text in cells B4, B5, and B6 above.</t>
  </si>
  <si>
    <t>Complete Enrollments worksheet by entering LEA's FY22 budgeted enrollment data in the blue-filled cells.</t>
  </si>
  <si>
    <t>Complete FY22 Annual Budget worksheet by entering LEA's FY22 budgeted amounts in the blue-filled cells.</t>
  </si>
  <si>
    <t>Review all data entered to be certain that it agrees by category and in total with your internal FY22 budget.</t>
  </si>
  <si>
    <t>If you have any questions, please contact the DC PCSB Director of Finance.</t>
  </si>
  <si>
    <t>Projected</t>
  </si>
  <si>
    <t>Tiffany Godbout</t>
  </si>
  <si>
    <t>tiffany@aohdc.org</t>
  </si>
  <si>
    <t>(202) 269-6623</t>
  </si>
  <si>
    <t>Enrollment:</t>
  </si>
  <si>
    <t>FY22 Annual Budget</t>
  </si>
  <si>
    <t>Variability</t>
  </si>
  <si>
    <t>Fixed</t>
  </si>
  <si>
    <t>Variable</t>
  </si>
  <si>
    <t>Variable $</t>
  </si>
  <si>
    <t>Pro Forma</t>
  </si>
  <si>
    <t>Assumption</t>
  </si>
  <si>
    <t>$</t>
  </si>
  <si>
    <t>Per Student</t>
  </si>
  <si>
    <t>Breakeven</t>
  </si>
  <si>
    <t>Estimate</t>
  </si>
  <si>
    <t>Hold Harmless</t>
  </si>
  <si>
    <t>FY 2020 Payment</t>
  </si>
  <si>
    <t>95% of FY 2020 Payment</t>
  </si>
  <si>
    <t>Personnel</t>
  </si>
  <si>
    <t>FY 2022 Payment based on Prelim Numbers</t>
  </si>
  <si>
    <t>Direct Student</t>
  </si>
  <si>
    <t>Eligible for HH?</t>
  </si>
  <si>
    <t>Legal, Acctg, P/R</t>
  </si>
  <si>
    <t>Admin. Fee</t>
  </si>
  <si>
    <t>Total expenses excluding depreciation</t>
  </si>
  <si>
    <t>Net operating cash flow</t>
  </si>
  <si>
    <t>Borrowing (repayment) of loans and other financing activities</t>
  </si>
  <si>
    <t>Change in cash</t>
  </si>
  <si>
    <t>Beginning cash balance</t>
  </si>
  <si>
    <t>Ending cash balance</t>
  </si>
  <si>
    <t>Days cash on hand</t>
  </si>
  <si>
    <t>Beginning Working Capital</t>
  </si>
  <si>
    <t>Ending Working Capital (assuming only cash changes)</t>
  </si>
  <si>
    <t>PPP or ESSER = (Budgeted Admin Fee / 0.9%) - Per Pupil Funding - Fed Entitlements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</si>
</sst>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00_);_(* \(#,##0.00\);_(* &quot;-&quot;??_);_(* @_)"/>
    <numFmt numFmtId="165" formatCode="#,##0.0000_);[Red]\(#,##0.0000\)"/>
    <numFmt numFmtId="166" formatCode="0.0000%"/>
    <numFmt numFmtId="167" formatCode="#,##0.00\d_);[Red]\(#,##0.00\d\)"/>
    <numFmt numFmtId="168" formatCode="#,##0.00\x_);[Red]\(#,##0.00\x\)"/>
    <numFmt numFmtId="169" formatCode="#,##0.00%_);[Red]\(#,##0.00%\)"/>
    <numFmt numFmtId="170" formatCode="[$USD]\ #,##0.00_);[Red]\([$USD]\ #,##0.00\)"/>
    <numFmt numFmtId="171" formatCode="_(* #,##0_);[Red]_(* \(#,##0\);_(* &quot;-&quot;_);_(@_)"/>
    <numFmt numFmtId="172" formatCode="_(* #,##0%_);[Red]_(* \(#,##0%\);_(* &quot;-&quot;_);_(@_)"/>
    <numFmt numFmtId="173" formatCode="_(* #,##0_);_(* \(#,##0\);_(* &quot;-&quot;??_);_(@_)"/>
  </numFmts>
  <fonts count="81">
    <font>
      <sz val="11"/>
      <color theme="1"/>
      <name val="Calibri"/>
      <family val="2"/>
      <scheme val="minor"/>
    </font>
    <font>
      <sz val="11"/>
      <color theme="1"/>
      <name val="Montserrat"/>
      <family val="2"/>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10"/>
      <color theme="1"/>
      <name val="Times New Roman"/>
      <family val="1"/>
    </font>
    <font>
      <sz val="8"/>
      <name val="Calibri"/>
      <family val="2"/>
      <scheme val="minor"/>
    </font>
    <font>
      <sz val="9"/>
      <color rgb="FF000000"/>
      <name val="Tahoma"/>
      <family val="2"/>
    </font>
    <font>
      <b/>
      <sz val="16"/>
      <color theme="1"/>
      <name val="Times New Roman"/>
      <family val="1"/>
    </font>
    <font>
      <b/>
      <sz val="12"/>
      <color theme="1"/>
      <name val="Times New Roman"/>
      <family val="1"/>
    </font>
    <font>
      <sz val="10"/>
      <color rgb="FFFF0000"/>
      <name val="Times New Roman"/>
      <family val="1"/>
    </font>
    <font>
      <sz val="10"/>
      <color rgb="FFFF40FF"/>
      <name val="Times New Roman"/>
      <family val="1"/>
    </font>
    <font>
      <b/>
      <i/>
      <sz val="10"/>
      <color theme="1"/>
      <name val="Times New Roman"/>
      <family val="1"/>
    </font>
    <font>
      <b/>
      <i/>
      <sz val="10"/>
      <color rgb="FFFF40FF"/>
      <name val="Times New Roman"/>
      <family val="1"/>
    </font>
    <font>
      <b/>
      <sz val="16"/>
      <color rgb="FFFF0000"/>
      <name val="Times New Roman"/>
      <family val="1"/>
    </font>
    <font>
      <b/>
      <sz val="10"/>
      <color rgb="FFFF0000"/>
      <name val="Times New Roman"/>
      <family val="1"/>
    </font>
    <font>
      <b/>
      <sz val="11"/>
      <color theme="1"/>
      <name val="Calibri"/>
      <family val="2"/>
      <scheme val="minor"/>
    </font>
    <font>
      <b/>
      <sz val="11"/>
      <color rgb="FF0432FF"/>
      <name val="Calibri"/>
      <family val="2"/>
      <scheme val="minor"/>
    </font>
    <font>
      <b/>
      <sz val="10"/>
      <color indexed="10"/>
      <name val="Times New Roman"/>
      <family val="1"/>
    </font>
    <font>
      <sz val="11"/>
      <color theme="9" tint="-0.499984740745262"/>
      <name val="Calibri"/>
      <family val="2"/>
      <scheme val="minor"/>
    </font>
    <font>
      <sz val="11"/>
      <color rgb="FF0432FF"/>
      <name val="Calibri"/>
      <family val="2"/>
      <scheme val="minor"/>
    </font>
    <font>
      <sz val="11"/>
      <name val="Montserrat Regular"/>
    </font>
    <font>
      <sz val="11"/>
      <name val="Calibri"/>
      <family val="2"/>
      <scheme val="minor"/>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rgb="FF00FA00"/>
        <bgColor indexed="64"/>
      </patternFill>
    </fill>
  </fills>
  <borders count="33">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rgb="FF0432FF"/>
      </left>
      <right style="dotted">
        <color rgb="FF0432FF"/>
      </right>
      <top style="dotted">
        <color rgb="FF0432FF"/>
      </top>
      <bottom style="dotted">
        <color rgb="FF0432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medium">
        <color theme="1"/>
      </bottom>
      <diagonal/>
    </border>
    <border>
      <left/>
      <right/>
      <top/>
      <bottom style="double">
        <color indexed="64"/>
      </bottom>
      <diagonal/>
    </border>
    <border>
      <left/>
      <right/>
      <top style="thin">
        <color indexed="64"/>
      </top>
      <bottom style="double">
        <color indexed="64"/>
      </bottom>
      <diagonal/>
    </border>
  </borders>
  <cellStyleXfs count="983">
    <xf numFmtId="0" fontId="0" fillId="0" borderId="0"/>
    <xf numFmtId="43" fontId="5"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0" fontId="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22" fillId="1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2" fillId="17"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2" fillId="21"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2" fillId="2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2" fillId="10"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2" fillId="1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2" fillId="1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2" fillId="2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0"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13" fillId="4"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7" fillId="7" borderId="8"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1" fillId="0" borderId="0" applyAlignment="0"/>
    <xf numFmtId="0" fontId="19" fillId="8" borderId="11" applyNumberFormat="0" applyAlignment="0" applyProtection="0"/>
    <xf numFmtId="0" fontId="32" fillId="54" borderId="14" applyNumberFormat="0" applyAlignment="0" applyProtection="0"/>
    <xf numFmtId="0" fontId="32" fillId="54" borderId="14" applyNumberFormat="0" applyAlignment="0" applyProtection="0"/>
    <xf numFmtId="0" fontId="32" fillId="54" borderId="14" applyNumberFormat="0" applyAlignment="0" applyProtection="0"/>
    <xf numFmtId="0" fontId="33" fillId="55" borderId="0" applyAlignment="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37" fillId="0" borderId="0" applyFill="0" applyBorder="0" applyProtection="0"/>
    <xf numFmtId="166" fontId="37" fillId="0" borderId="0" applyFill="0" applyBorder="0" applyProtection="0"/>
    <xf numFmtId="167" fontId="38" fillId="0" borderId="0" applyFill="0" applyBorder="0" applyProtection="0"/>
    <xf numFmtId="168" fontId="38" fillId="0" borderId="0" applyFill="0" applyBorder="0" applyProtection="0"/>
    <xf numFmtId="40" fontId="38" fillId="0" borderId="0" applyFill="0" applyBorder="0" applyProtection="0"/>
    <xf numFmtId="169" fontId="38" fillId="0" borderId="0" applyFill="0" applyBorder="0" applyProtection="0"/>
    <xf numFmtId="0" fontId="38" fillId="0" borderId="0" applyNumberFormat="0" applyFill="0" applyBorder="0" applyProtection="0"/>
    <xf numFmtId="1" fontId="37" fillId="0" borderId="0" applyFill="0" applyBorder="0" applyProtection="0">
      <alignment horizontal="center"/>
    </xf>
    <xf numFmtId="167" fontId="37" fillId="0" borderId="0" applyFill="0" applyBorder="0" applyProtection="0"/>
    <xf numFmtId="0" fontId="39" fillId="0" borderId="0" applyNumberFormat="0" applyFill="0" applyBorder="0" applyProtection="0"/>
    <xf numFmtId="0" fontId="37" fillId="0" borderId="0" applyNumberFormat="0" applyFill="0" applyBorder="0" applyAlignment="0" applyProtection="0"/>
    <xf numFmtId="168" fontId="37" fillId="0" borderId="0" applyFill="0" applyBorder="0" applyProtection="0"/>
    <xf numFmtId="40" fontId="37" fillId="0" borderId="0" applyFill="0" applyBorder="0" applyProtection="0"/>
    <xf numFmtId="0" fontId="12" fillId="3"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69" fontId="37" fillId="0" borderId="0" applyFill="0" applyBorder="0" applyProtection="0"/>
    <xf numFmtId="0" fontId="37" fillId="0" borderId="0" applyNumberFormat="0" applyFill="0" applyBorder="0" applyProtection="0"/>
    <xf numFmtId="170" fontId="37" fillId="0" borderId="0" applyFill="0" applyBorder="0" applyProtection="0">
      <alignment horizontal="right"/>
    </xf>
    <xf numFmtId="0" fontId="9" fillId="0" borderId="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10" fillId="0" borderId="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1" fillId="0" borderId="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6" borderId="8"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5" fillId="0" borderId="0" applyAlignment="0"/>
    <xf numFmtId="0" fontId="18" fillId="0" borderId="10"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14" fillId="5"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8" fillId="57" borderId="0" applyAlignment="0"/>
    <xf numFmtId="0" fontId="49" fillId="34" borderId="0" applyAlignment="0"/>
    <xf numFmtId="0" fontId="50" fillId="0" borderId="0" applyAlignment="0"/>
    <xf numFmtId="0" fontId="2" fillId="0" borderId="0"/>
    <xf numFmtId="0" fontId="34" fillId="0" borderId="0"/>
    <xf numFmtId="0" fontId="3" fillId="0" borderId="0"/>
    <xf numFmtId="0" fontId="3" fillId="0" borderId="0"/>
    <xf numFmtId="0" fontId="4" fillId="0" borderId="0"/>
    <xf numFmtId="0" fontId="35"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2" fillId="0" borderId="0"/>
    <xf numFmtId="0" fontId="3" fillId="0" borderId="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16" fillId="7" borderId="9"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9" fontId="4"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0" fontId="52" fillId="59" borderId="0" applyAlignment="0"/>
    <xf numFmtId="0" fontId="53" fillId="0" borderId="0" applyAlignment="0"/>
    <xf numFmtId="0" fontId="54" fillId="0" borderId="0" applyAlignment="0"/>
    <xf numFmtId="0" fontId="55" fillId="0" borderId="0" applyAlignment="0"/>
    <xf numFmtId="0" fontId="56" fillId="0" borderId="0" applyAlignment="0"/>
    <xf numFmtId="0" fontId="57" fillId="0" borderId="0" applyAlignment="0"/>
    <xf numFmtId="0" fontId="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Alignment="0"/>
    <xf numFmtId="0" fontId="55" fillId="0" borderId="0" applyAlignment="0">
      <alignment wrapText="1"/>
    </xf>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2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cellStyleXfs>
  <cellXfs count="99">
    <xf numFmtId="0" fontId="0" fillId="0" borderId="0" xfId="0"/>
    <xf numFmtId="0" fontId="63" fillId="0" borderId="0" xfId="0" applyFont="1"/>
    <xf numFmtId="0" fontId="67" fillId="0" borderId="0" xfId="0" applyFont="1" applyProtection="1">
      <protection locked="0"/>
    </xf>
    <xf numFmtId="0" fontId="63" fillId="0" borderId="0" xfId="0" applyFont="1" applyProtection="1">
      <protection locked="0"/>
    </xf>
    <xf numFmtId="3" fontId="23" fillId="0" borderId="0" xfId="29" applyNumberFormat="1" applyFont="1"/>
    <xf numFmtId="3" fontId="4" fillId="0" borderId="0" xfId="29" applyNumberFormat="1" applyFont="1"/>
    <xf numFmtId="3" fontId="23" fillId="0" borderId="0" xfId="28" applyNumberFormat="1" applyFont="1"/>
    <xf numFmtId="3" fontId="25" fillId="0" borderId="0" xfId="28" applyNumberFormat="1" applyFont="1"/>
    <xf numFmtId="3" fontId="4" fillId="0" borderId="0" xfId="28" applyNumberFormat="1"/>
    <xf numFmtId="3" fontId="26" fillId="0" borderId="0" xfId="28" applyNumberFormat="1" applyFont="1"/>
    <xf numFmtId="3" fontId="23" fillId="0" borderId="22" xfId="28" applyNumberFormat="1" applyFont="1" applyBorder="1"/>
    <xf numFmtId="3" fontId="4" fillId="0" borderId="22" xfId="28" applyNumberFormat="1" applyBorder="1"/>
    <xf numFmtId="3" fontId="23" fillId="0" borderId="22" xfId="28" applyNumberFormat="1" applyFont="1" applyBorder="1" applyAlignment="1">
      <alignment wrapText="1"/>
    </xf>
    <xf numFmtId="3" fontId="26" fillId="0" borderId="22" xfId="28" applyNumberFormat="1" applyFont="1" applyBorder="1"/>
    <xf numFmtId="3" fontId="4" fillId="0" borderId="22" xfId="28" applyNumberFormat="1" applyBorder="1" applyAlignment="1">
      <alignment horizontal="left"/>
    </xf>
    <xf numFmtId="3" fontId="23" fillId="0" borderId="22" xfId="28" applyNumberFormat="1" applyFont="1" applyBorder="1" applyAlignment="1">
      <alignment horizontal="left"/>
    </xf>
    <xf numFmtId="3" fontId="25" fillId="0" borderId="0" xfId="28" applyNumberFormat="1" applyFont="1" applyAlignment="1">
      <alignment horizontal="left"/>
    </xf>
    <xf numFmtId="3" fontId="68" fillId="0" borderId="22" xfId="28" applyNumberFormat="1" applyFont="1" applyBorder="1"/>
    <xf numFmtId="3" fontId="26" fillId="0" borderId="22" xfId="28" applyNumberFormat="1" applyFont="1" applyBorder="1" applyAlignment="1">
      <alignment horizontal="left"/>
    </xf>
    <xf numFmtId="3" fontId="23" fillId="0" borderId="23" xfId="28" applyNumberFormat="1" applyFont="1" applyBorder="1" applyAlignment="1">
      <alignment wrapText="1"/>
    </xf>
    <xf numFmtId="38" fontId="4" fillId="0" borderId="0" xfId="29" applyNumberFormat="1" applyFont="1" applyAlignment="1">
      <alignment horizontal="center"/>
    </xf>
    <xf numFmtId="38" fontId="68" fillId="0" borderId="0" xfId="29" applyNumberFormat="1" applyFont="1" applyAlignment="1">
      <alignment horizontal="center"/>
    </xf>
    <xf numFmtId="38" fontId="23" fillId="0" borderId="0" xfId="28" applyNumberFormat="1" applyFont="1" applyAlignment="1">
      <alignment horizontal="center"/>
    </xf>
    <xf numFmtId="38" fontId="23" fillId="0" borderId="0" xfId="30" applyNumberFormat="1" applyFont="1" applyFill="1" applyAlignment="1">
      <alignment horizontal="center"/>
    </xf>
    <xf numFmtId="38" fontId="23" fillId="0" borderId="22" xfId="28" applyNumberFormat="1" applyFont="1" applyBorder="1" applyAlignment="1">
      <alignment wrapText="1"/>
    </xf>
    <xf numFmtId="38" fontId="23" fillId="0" borderId="22" xfId="28" applyNumberFormat="1" applyFont="1" applyBorder="1" applyAlignment="1">
      <alignment horizontal="center" wrapText="1"/>
    </xf>
    <xf numFmtId="38" fontId="23" fillId="0" borderId="22" xfId="28" applyNumberFormat="1" applyFont="1" applyBorder="1" applyAlignment="1">
      <alignment horizontal="center"/>
    </xf>
    <xf numFmtId="38" fontId="25" fillId="0" borderId="0" xfId="28" applyNumberFormat="1" applyFont="1" applyAlignment="1">
      <alignment horizontal="center"/>
    </xf>
    <xf numFmtId="38" fontId="4" fillId="0" borderId="0" xfId="28" applyNumberFormat="1" applyAlignment="1">
      <alignment horizontal="center"/>
    </xf>
    <xf numFmtId="38" fontId="27" fillId="0" borderId="0" xfId="28" applyNumberFormat="1" applyFont="1" applyAlignment="1">
      <alignment horizontal="center"/>
    </xf>
    <xf numFmtId="38" fontId="24" fillId="0" borderId="0" xfId="28" applyNumberFormat="1" applyFont="1" applyAlignment="1">
      <alignment horizontal="center"/>
    </xf>
    <xf numFmtId="38" fontId="4" fillId="0" borderId="22" xfId="28" applyNumberFormat="1" applyBorder="1" applyAlignment="1">
      <alignment horizontal="center"/>
    </xf>
    <xf numFmtId="38" fontId="4" fillId="2" borderId="22" xfId="28" applyNumberFormat="1" applyFill="1" applyBorder="1" applyAlignment="1" applyProtection="1">
      <alignment horizontal="center"/>
      <protection locked="0"/>
    </xf>
    <xf numFmtId="38" fontId="23" fillId="2" borderId="22" xfId="28" applyNumberFormat="1" applyFont="1" applyFill="1" applyBorder="1" applyAlignment="1" applyProtection="1">
      <alignment horizontal="center"/>
      <protection locked="0"/>
    </xf>
    <xf numFmtId="171" fontId="23" fillId="0" borderId="0" xfId="2" applyNumberFormat="1" applyFont="1"/>
    <xf numFmtId="171" fontId="4" fillId="0" borderId="0" xfId="2" applyNumberFormat="1" applyFont="1"/>
    <xf numFmtId="171" fontId="62" fillId="0" borderId="0" xfId="2" applyNumberFormat="1" applyFont="1"/>
    <xf numFmtId="171" fontId="23" fillId="0" borderId="1" xfId="2" applyNumberFormat="1" applyFont="1" applyBorder="1" applyAlignment="1">
      <alignment horizontal="center"/>
    </xf>
    <xf numFmtId="171" fontId="23" fillId="0" borderId="0" xfId="2" applyNumberFormat="1" applyFont="1" applyAlignment="1">
      <alignment horizontal="center"/>
    </xf>
    <xf numFmtId="171" fontId="4" fillId="0" borderId="2" xfId="2" applyNumberFormat="1" applyFont="1" applyBorder="1" applyAlignment="1">
      <alignment horizontal="center"/>
    </xf>
    <xf numFmtId="171" fontId="4" fillId="0" borderId="0" xfId="2" applyNumberFormat="1" applyFont="1" applyAlignment="1">
      <alignment horizontal="center"/>
    </xf>
    <xf numFmtId="171" fontId="4" fillId="0" borderId="0" xfId="1" applyNumberFormat="1" applyFont="1" applyFill="1" applyBorder="1" applyAlignment="1">
      <alignment horizontal="center"/>
    </xf>
    <xf numFmtId="171" fontId="4" fillId="0" borderId="2" xfId="2" applyNumberFormat="1" applyFont="1" applyBorder="1"/>
    <xf numFmtId="171" fontId="23" fillId="0" borderId="3" xfId="2" applyNumberFormat="1" applyFont="1" applyBorder="1"/>
    <xf numFmtId="171" fontId="23" fillId="0" borderId="3" xfId="1" applyNumberFormat="1" applyFont="1" applyFill="1" applyBorder="1"/>
    <xf numFmtId="171" fontId="23" fillId="0" borderId="0" xfId="1" applyNumberFormat="1" applyFont="1" applyFill="1" applyBorder="1"/>
    <xf numFmtId="171" fontId="62" fillId="0" borderId="0" xfId="1" applyNumberFormat="1" applyFont="1" applyBorder="1"/>
    <xf numFmtId="171" fontId="4" fillId="0" borderId="0" xfId="1" applyNumberFormat="1" applyFont="1"/>
    <xf numFmtId="171" fontId="26" fillId="0" borderId="0" xfId="2" applyNumberFormat="1" applyFont="1"/>
    <xf numFmtId="171" fontId="4" fillId="0" borderId="0" xfId="1" applyNumberFormat="1" applyFont="1" applyFill="1" applyBorder="1"/>
    <xf numFmtId="171" fontId="4" fillId="0" borderId="0" xfId="1" applyNumberFormat="1" applyFont="1" applyBorder="1"/>
    <xf numFmtId="171" fontId="23" fillId="0" borderId="1" xfId="2" applyNumberFormat="1" applyFont="1" applyBorder="1"/>
    <xf numFmtId="171" fontId="23" fillId="0" borderId="2" xfId="2" applyNumberFormat="1" applyFont="1" applyBorder="1"/>
    <xf numFmtId="171" fontId="23" fillId="0" borderId="3" xfId="980" applyNumberFormat="1" applyFont="1" applyFill="1" applyBorder="1"/>
    <xf numFmtId="171" fontId="23" fillId="0" borderId="0" xfId="980" applyNumberFormat="1" applyFont="1" applyFill="1" applyBorder="1"/>
    <xf numFmtId="171" fontId="62" fillId="0" borderId="0" xfId="980" applyNumberFormat="1" applyFont="1" applyBorder="1"/>
    <xf numFmtId="172" fontId="4" fillId="0" borderId="0" xfId="2" applyNumberFormat="1" applyFont="1"/>
    <xf numFmtId="171" fontId="4" fillId="0" borderId="1" xfId="2" applyNumberFormat="1" applyFont="1" applyBorder="1"/>
    <xf numFmtId="171" fontId="4" fillId="0" borderId="3" xfId="980" applyNumberFormat="1" applyFont="1" applyBorder="1"/>
    <xf numFmtId="172" fontId="4" fillId="0" borderId="2" xfId="2" applyNumberFormat="1" applyFont="1" applyBorder="1"/>
    <xf numFmtId="171" fontId="4" fillId="2" borderId="4" xfId="1" applyNumberFormat="1" applyFont="1" applyFill="1" applyBorder="1" applyAlignment="1" applyProtection="1">
      <alignment horizontal="center"/>
      <protection locked="0"/>
    </xf>
    <xf numFmtId="171" fontId="4" fillId="2" borderId="4" xfId="1" applyNumberFormat="1" applyFont="1" applyFill="1" applyBorder="1" applyProtection="1">
      <protection locked="0"/>
    </xf>
    <xf numFmtId="0" fontId="1" fillId="0" borderId="0" xfId="981"/>
    <xf numFmtId="0" fontId="63" fillId="0" borderId="0" xfId="0" applyFont="1" applyAlignment="1">
      <alignment horizontal="center"/>
    </xf>
    <xf numFmtId="0" fontId="66" fillId="0" borderId="0" xfId="0" applyFont="1" applyAlignment="1">
      <alignment horizontal="center"/>
    </xf>
    <xf numFmtId="171" fontId="4" fillId="0" borderId="2" xfId="2" applyNumberFormat="1" applyFont="1" applyBorder="1" applyAlignment="1" applyProtection="1">
      <alignment horizontal="center"/>
      <protection locked="0"/>
    </xf>
    <xf numFmtId="171" fontId="0" fillId="0" borderId="0" xfId="0" applyNumberFormat="1"/>
    <xf numFmtId="171" fontId="74" fillId="0" borderId="0" xfId="0" applyNumberFormat="1" applyFont="1"/>
    <xf numFmtId="171" fontId="75" fillId="0" borderId="25" xfId="0" applyNumberFormat="1" applyFont="1" applyBorder="1"/>
    <xf numFmtId="172" fontId="0" fillId="0" borderId="0" xfId="0" applyNumberFormat="1"/>
    <xf numFmtId="171" fontId="76" fillId="0" borderId="0" xfId="2" applyNumberFormat="1" applyFont="1" applyAlignment="1">
      <alignment horizontal="center"/>
    </xf>
    <xf numFmtId="171" fontId="74" fillId="0" borderId="0" xfId="0" applyNumberFormat="1" applyFont="1" applyAlignment="1">
      <alignment horizontal="center"/>
    </xf>
    <xf numFmtId="172" fontId="74" fillId="0" borderId="0" xfId="0" applyNumberFormat="1" applyFont="1" applyAlignment="1">
      <alignment horizontal="center"/>
    </xf>
    <xf numFmtId="171" fontId="74" fillId="0" borderId="29" xfId="0" applyNumberFormat="1" applyFont="1" applyBorder="1" applyAlignment="1">
      <alignment horizontal="center"/>
    </xf>
    <xf numFmtId="172" fontId="74" fillId="0" borderId="29" xfId="0" applyNumberFormat="1" applyFont="1" applyBorder="1" applyAlignment="1">
      <alignment horizontal="center"/>
    </xf>
    <xf numFmtId="173" fontId="0" fillId="0" borderId="0" xfId="1" applyNumberFormat="1" applyFont="1"/>
    <xf numFmtId="171" fontId="0" fillId="0" borderId="0" xfId="0" applyNumberFormat="1" applyAlignment="1">
      <alignment horizontal="right"/>
    </xf>
    <xf numFmtId="171" fontId="77" fillId="0" borderId="0" xfId="0" applyNumberFormat="1" applyFont="1"/>
    <xf numFmtId="9" fontId="0" fillId="0" borderId="0" xfId="982" applyFont="1"/>
    <xf numFmtId="171" fontId="0" fillId="0" borderId="27" xfId="0" applyNumberFormat="1" applyBorder="1"/>
    <xf numFmtId="171" fontId="78" fillId="0" borderId="0" xfId="0" applyNumberFormat="1" applyFont="1"/>
    <xf numFmtId="171" fontId="0" fillId="0" borderId="2" xfId="0" applyNumberFormat="1" applyBorder="1"/>
    <xf numFmtId="171" fontId="0" fillId="0" borderId="31" xfId="0" applyNumberFormat="1" applyBorder="1"/>
    <xf numFmtId="171" fontId="79" fillId="0" borderId="0" xfId="2" applyNumberFormat="1" applyFont="1"/>
    <xf numFmtId="171" fontId="78" fillId="0" borderId="25" xfId="0" applyNumberFormat="1" applyFont="1" applyBorder="1"/>
    <xf numFmtId="171" fontId="80" fillId="0" borderId="0" xfId="0" applyNumberFormat="1" applyFont="1"/>
    <xf numFmtId="171" fontId="0" fillId="0" borderId="32" xfId="0" applyNumberFormat="1" applyBorder="1"/>
    <xf numFmtId="171" fontId="0" fillId="60" borderId="32" xfId="0" applyNumberFormat="1" applyFill="1" applyBorder="1"/>
    <xf numFmtId="0" fontId="72" fillId="0" borderId="0" xfId="0" applyFont="1" applyAlignment="1">
      <alignment horizontal="center"/>
    </xf>
    <xf numFmtId="0" fontId="73" fillId="0" borderId="0" xfId="0" applyFont="1" applyAlignment="1">
      <alignment horizontal="center"/>
    </xf>
    <xf numFmtId="38" fontId="4" fillId="0" borderId="23" xfId="28" applyNumberFormat="1" applyBorder="1" applyAlignment="1">
      <alignment horizontal="center"/>
    </xf>
    <xf numFmtId="38" fontId="4" fillId="0" borderId="24" xfId="28" applyNumberFormat="1" applyBorder="1" applyAlignment="1">
      <alignment horizontal="center"/>
    </xf>
    <xf numFmtId="38" fontId="4" fillId="2" borderId="23" xfId="28" applyNumberFormat="1" applyFill="1" applyBorder="1" applyAlignment="1" applyProtection="1">
      <alignment horizontal="center" vertical="center"/>
      <protection locked="0"/>
    </xf>
    <xf numFmtId="38" fontId="4" fillId="2" borderId="24" xfId="28" applyNumberFormat="1" applyFill="1" applyBorder="1" applyAlignment="1" applyProtection="1">
      <alignment horizontal="center" vertical="center"/>
      <protection locked="0"/>
    </xf>
    <xf numFmtId="171" fontId="23" fillId="0" borderId="2" xfId="2" applyNumberFormat="1" applyFont="1" applyBorder="1" applyAlignment="1">
      <alignment horizontal="center"/>
    </xf>
    <xf numFmtId="171" fontId="74" fillId="0" borderId="26" xfId="0" applyNumberFormat="1" applyFont="1" applyBorder="1" applyAlignment="1">
      <alignment horizontal="center"/>
    </xf>
    <xf numFmtId="171" fontId="74" fillId="0" borderId="27" xfId="0" applyNumberFormat="1" applyFont="1" applyBorder="1" applyAlignment="1">
      <alignment horizontal="center"/>
    </xf>
    <xf numFmtId="171" fontId="74" fillId="0" borderId="28" xfId="0" applyNumberFormat="1" applyFont="1" applyBorder="1" applyAlignment="1">
      <alignment horizontal="center"/>
    </xf>
    <xf numFmtId="171" fontId="74" fillId="0" borderId="30" xfId="0" applyNumberFormat="1" applyFont="1" applyBorder="1" applyAlignment="1">
      <alignment horizontal="center"/>
    </xf>
  </cellXfs>
  <cellStyles count="983">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12" xfId="981" xr:uid="{15EE7CDA-BD74-F144-A340-955BB06BFCCA}"/>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xfId="982" builtinId="5"/>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8">
    <dxf>
      <font>
        <color rgb="FF006100"/>
      </font>
      <fill>
        <patternFill>
          <bgColor rgb="FFC6EFCE"/>
        </patternFill>
      </fill>
    </dxf>
    <dxf>
      <font>
        <color rgb="FF9C0006"/>
      </font>
      <fill>
        <patternFill>
          <bgColor rgb="FFFFC7CE"/>
        </patternFill>
      </fill>
    </dxf>
    <dxf>
      <fill>
        <patternFill>
          <bgColor rgb="FFFFFF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5" name="AutoShape 8" descr="Image result for dc pcsb">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persons/person.xml><?xml version="1.0" encoding="utf-8"?>
<personList xmlns="http://schemas.microsoft.com/office/spreadsheetml/2018/threadedcomments" xmlns:x="http://schemas.openxmlformats.org/spreadsheetml/2006/main">
  <person displayName="Michael Bayuk" id="{F517900A-D88F-D04E-8C4E-38D8A18CFE41}" userId="S::mbayuk@dcpcsb.org::889b626b-426a-4120-b1d6-b1c19d7e68f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5C93E1-913C-5348-996B-3EA43DEE8909}" name="LEA_List" displayName="LEA_List" ref="A1:B74" totalsRowShown="0">
  <autoFilter ref="A1:B74" xr:uid="{04795E00-C7E0-0D4B-B5D6-3640B9FB4DB5}"/>
  <tableColumns count="2">
    <tableColumn id="1" xr3:uid="{252597A3-02A9-614E-96A3-F886EF129F9F}" name="LEA"/>
    <tableColumn id="2" xr3:uid="{A944D86B-F8DA-9447-92DE-5B26A0565D47}" name="LEA 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1-07-22T18:26:09.14" personId="{F517900A-D88F-D04E-8C4E-38D8A18CFE41}" id="{1FE4C607-D3B2-4141-95A9-0261E665AD90}">
    <text>If “Budget” is selected, the amounts in this column should tie to the amounts in the published FY21 Budget. If “Projected” is selected, the amounts in this column should be the latest projected amounts you have for FY21.</text>
  </threadedComment>
</ThreadedComments>
</file>

<file path=xl/threadedComments/threadedComment2.xml><?xml version="1.0" encoding="utf-8"?>
<ThreadedComments xmlns="http://schemas.microsoft.com/office/spreadsheetml/2018/threadedcomments" xmlns:x="http://schemas.openxmlformats.org/spreadsheetml/2006/main">
  <threadedComment ref="G10" dT="2021-09-28T18:52:24.46" personId="{F517900A-D88F-D04E-8C4E-38D8A18CFE41}" id="{5360BDB9-428D-D445-8286-D6A42DDDDD4C}">
    <text>Imputed PPP and ESSER</text>
  </threadedComment>
  <threadedComment ref="D38" dT="2021-09-28T19:12:16.74" personId="{F517900A-D88F-D04E-8C4E-38D8A18CFE41}" id="{40FC1C70-A6CF-CC4E-A702-B2F7C2458643}">
    <text>Change to Variable if rent is per pupil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A1:C20"/>
  <sheetViews>
    <sheetView workbookViewId="0"/>
  </sheetViews>
  <sheetFormatPr baseColWidth="10" defaultColWidth="9.1640625" defaultRowHeight="13"/>
  <cols>
    <col min="1" max="1" width="2.6640625" style="1" customWidth="1"/>
    <col min="2" max="2" width="81.83203125" style="1" bestFit="1" customWidth="1"/>
    <col min="3" max="16384" width="9.1640625" style="1"/>
  </cols>
  <sheetData>
    <row r="1" spans="1:3" ht="20">
      <c r="B1" s="64" t="s">
        <v>110</v>
      </c>
      <c r="C1" s="63" t="s">
        <v>204</v>
      </c>
    </row>
    <row r="2" spans="1:3" ht="16">
      <c r="B2" s="2" t="s">
        <v>203</v>
      </c>
      <c r="C2" s="63">
        <f>VLOOKUP(B2,LEA_List[],2,FALSE)</f>
        <v>178</v>
      </c>
    </row>
    <row r="4" spans="1:3">
      <c r="B4" s="3" t="s">
        <v>217</v>
      </c>
    </row>
    <row r="5" spans="1:3">
      <c r="B5" s="3" t="s">
        <v>218</v>
      </c>
    </row>
    <row r="6" spans="1:3">
      <c r="B6" s="3" t="s">
        <v>219</v>
      </c>
    </row>
    <row r="8" spans="1:3">
      <c r="B8" s="1" t="s">
        <v>111</v>
      </c>
    </row>
    <row r="10" spans="1:3" ht="20">
      <c r="A10" s="88" t="s">
        <v>210</v>
      </c>
      <c r="B10" s="88"/>
    </row>
    <row r="11" spans="1:3">
      <c r="A11" s="1">
        <v>1</v>
      </c>
      <c r="B11" s="1" t="s">
        <v>206</v>
      </c>
    </row>
    <row r="12" spans="1:3">
      <c r="A12" s="1">
        <v>2</v>
      </c>
      <c r="B12" s="1" t="s">
        <v>211</v>
      </c>
    </row>
    <row r="13" spans="1:3">
      <c r="A13" s="1">
        <v>3</v>
      </c>
      <c r="B13" s="1" t="s">
        <v>207</v>
      </c>
    </row>
    <row r="14" spans="1:3">
      <c r="A14" s="1">
        <v>4</v>
      </c>
      <c r="B14" s="1" t="s">
        <v>212</v>
      </c>
    </row>
    <row r="15" spans="1:3">
      <c r="A15" s="1">
        <v>5</v>
      </c>
      <c r="B15" s="1" t="s">
        <v>213</v>
      </c>
    </row>
    <row r="16" spans="1:3">
      <c r="A16" s="1">
        <v>6</v>
      </c>
      <c r="B16" s="1" t="s">
        <v>214</v>
      </c>
    </row>
    <row r="17" spans="1:2">
      <c r="A17" s="1">
        <v>7</v>
      </c>
      <c r="B17" s="1" t="s">
        <v>208</v>
      </c>
    </row>
    <row r="18" spans="1:2">
      <c r="A18" s="1">
        <v>8</v>
      </c>
      <c r="B18" s="1" t="s">
        <v>209</v>
      </c>
    </row>
    <row r="20" spans="1:2">
      <c r="A20" s="89" t="s">
        <v>215</v>
      </c>
      <c r="B20" s="89"/>
    </row>
  </sheetData>
  <sheetProtection algorithmName="SHA-512" hashValue="k3HjhReGBPQCv0A8TEYmQD5Is2AJ8kzhInVXXaVXnH2rY7gIJ8l4eaUxu5zF+JPLdMiLz6ocJe1VMCVQcb2eog==" saltValue="uhU6Aws4CFAWTOOgAWoEyQ==" spinCount="100000" sheet="1" objects="1" scenarios="1"/>
  <mergeCells count="2">
    <mergeCell ref="A10:B10"/>
    <mergeCell ref="A20:B20"/>
  </mergeCells>
  <conditionalFormatting sqref="B2">
    <cfRule type="containsText" dxfId="7" priority="4" operator="containsText" text="Enter LEA Name">
      <formula>NOT(ISERROR(SEARCH("Enter LEA Name",B2)))</formula>
    </cfRule>
  </conditionalFormatting>
  <conditionalFormatting sqref="B4">
    <cfRule type="containsText" dxfId="6" priority="3" operator="containsText" text="Enter LEA Contact Name">
      <formula>NOT(ISERROR(SEARCH("Enter LEA Contact Name",B4)))</formula>
    </cfRule>
  </conditionalFormatting>
  <conditionalFormatting sqref="B5">
    <cfRule type="containsText" dxfId="5" priority="2" operator="containsText" text="Enter LEA Contact Email">
      <formula>NOT(ISERROR(SEARCH("Enter LEA Contact Email",B5)))</formula>
    </cfRule>
  </conditionalFormatting>
  <conditionalFormatting sqref="B6">
    <cfRule type="containsText" dxfId="4" priority="1" operator="containsText" text="Enter LEA Contact Phone Number">
      <formula>NOT(ISERROR(SEARCH("Enter LEA Contact Phone Number",B6)))</formula>
    </cfRule>
  </conditionalFormatting>
  <dataValidations count="1">
    <dataValidation type="list" allowBlank="1" showInputMessage="1" showErrorMessage="1" sqref="B2" xr:uid="{64F096BA-7011-514A-9193-1739EEAA3888}">
      <formula1>LEA_Name</formula1>
    </dataValidation>
  </dataValidations>
  <pageMargins left="0.7" right="0.7" top="0.75" bottom="0.75" header="0.3" footer="0.3"/>
  <pageSetup paperSize="12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D61"/>
  <sheetViews>
    <sheetView workbookViewId="0"/>
  </sheetViews>
  <sheetFormatPr baseColWidth="10" defaultColWidth="7.5" defaultRowHeight="13"/>
  <cols>
    <col min="1" max="1" width="26.83203125" style="5" bestFit="1" customWidth="1"/>
    <col min="2" max="3" width="21.83203125" style="20" bestFit="1" customWidth="1"/>
    <col min="4" max="4" width="15.33203125" style="20" bestFit="1" customWidth="1"/>
    <col min="5" max="16384" width="7.5" style="5"/>
  </cols>
  <sheetData>
    <row r="1" spans="1:4">
      <c r="A1" s="4" t="str">
        <f>'1 Instructions - Read First'!B2</f>
        <v>Academy of Hope Adult PCS</v>
      </c>
    </row>
    <row r="2" spans="1:4">
      <c r="A2" s="5" t="str">
        <f>'1 Instructions - Read First'!B8&amp;" Enrollment Data"</f>
        <v>FY22 Enrollment Data</v>
      </c>
      <c r="C2" s="21" t="s">
        <v>116</v>
      </c>
    </row>
    <row r="3" spans="1:4">
      <c r="A3" s="6"/>
      <c r="B3" s="22"/>
      <c r="C3" s="23"/>
      <c r="D3" s="22"/>
    </row>
    <row r="4" spans="1:4" ht="14">
      <c r="A4" s="19" t="s">
        <v>33</v>
      </c>
      <c r="B4" s="24" t="s">
        <v>121</v>
      </c>
      <c r="C4" s="24" t="s">
        <v>122</v>
      </c>
      <c r="D4" s="25" t="s">
        <v>123</v>
      </c>
    </row>
    <row r="5" spans="1:4" ht="12.75" customHeight="1">
      <c r="A5" s="14" t="s">
        <v>34</v>
      </c>
      <c r="B5" s="32">
        <v>0</v>
      </c>
      <c r="C5" s="32">
        <v>0</v>
      </c>
      <c r="D5" s="31">
        <f>C5-B5</f>
        <v>0</v>
      </c>
    </row>
    <row r="6" spans="1:4" ht="12.75" customHeight="1">
      <c r="A6" s="14" t="s">
        <v>35</v>
      </c>
      <c r="B6" s="32">
        <v>0</v>
      </c>
      <c r="C6" s="32">
        <v>0</v>
      </c>
      <c r="D6" s="31">
        <f t="shared" ref="D6:D22" si="0">C6-B6</f>
        <v>0</v>
      </c>
    </row>
    <row r="7" spans="1:4" ht="12.75" customHeight="1">
      <c r="A7" s="14" t="s">
        <v>36</v>
      </c>
      <c r="B7" s="32">
        <v>0</v>
      </c>
      <c r="C7" s="32">
        <v>0</v>
      </c>
      <c r="D7" s="31">
        <f t="shared" si="0"/>
        <v>0</v>
      </c>
    </row>
    <row r="8" spans="1:4" ht="12.75" customHeight="1">
      <c r="A8" s="14" t="s">
        <v>37</v>
      </c>
      <c r="B8" s="32">
        <v>0</v>
      </c>
      <c r="C8" s="32">
        <v>0</v>
      </c>
      <c r="D8" s="31">
        <f t="shared" si="0"/>
        <v>0</v>
      </c>
    </row>
    <row r="9" spans="1:4" ht="12.75" customHeight="1">
      <c r="A9" s="14" t="s">
        <v>38</v>
      </c>
      <c r="B9" s="32">
        <v>0</v>
      </c>
      <c r="C9" s="32">
        <v>0</v>
      </c>
      <c r="D9" s="31">
        <f t="shared" si="0"/>
        <v>0</v>
      </c>
    </row>
    <row r="10" spans="1:4" ht="12.75" customHeight="1">
      <c r="A10" s="14" t="s">
        <v>39</v>
      </c>
      <c r="B10" s="32">
        <v>0</v>
      </c>
      <c r="C10" s="32">
        <v>0</v>
      </c>
      <c r="D10" s="31">
        <f t="shared" si="0"/>
        <v>0</v>
      </c>
    </row>
    <row r="11" spans="1:4" ht="12.75" customHeight="1">
      <c r="A11" s="14" t="s">
        <v>40</v>
      </c>
      <c r="B11" s="32">
        <v>0</v>
      </c>
      <c r="C11" s="32">
        <v>0</v>
      </c>
      <c r="D11" s="31">
        <f t="shared" si="0"/>
        <v>0</v>
      </c>
    </row>
    <row r="12" spans="1:4" ht="12.75" customHeight="1">
      <c r="A12" s="14" t="s">
        <v>41</v>
      </c>
      <c r="B12" s="32">
        <v>0</v>
      </c>
      <c r="C12" s="32">
        <v>0</v>
      </c>
      <c r="D12" s="31">
        <f t="shared" si="0"/>
        <v>0</v>
      </c>
    </row>
    <row r="13" spans="1:4" ht="12.75" customHeight="1">
      <c r="A13" s="14" t="s">
        <v>42</v>
      </c>
      <c r="B13" s="32">
        <v>0</v>
      </c>
      <c r="C13" s="32">
        <v>0</v>
      </c>
      <c r="D13" s="31">
        <f t="shared" si="0"/>
        <v>0</v>
      </c>
    </row>
    <row r="14" spans="1:4" ht="12.75" customHeight="1">
      <c r="A14" s="14" t="s">
        <v>43</v>
      </c>
      <c r="B14" s="32">
        <v>0</v>
      </c>
      <c r="C14" s="32">
        <v>0</v>
      </c>
      <c r="D14" s="31">
        <f t="shared" si="0"/>
        <v>0</v>
      </c>
    </row>
    <row r="15" spans="1:4" ht="12.75" customHeight="1">
      <c r="A15" s="14" t="s">
        <v>44</v>
      </c>
      <c r="B15" s="32">
        <v>0</v>
      </c>
      <c r="C15" s="32">
        <v>0</v>
      </c>
      <c r="D15" s="31">
        <f t="shared" si="0"/>
        <v>0</v>
      </c>
    </row>
    <row r="16" spans="1:4" ht="12.75" customHeight="1">
      <c r="A16" s="14" t="s">
        <v>45</v>
      </c>
      <c r="B16" s="32">
        <v>0</v>
      </c>
      <c r="C16" s="32">
        <v>0</v>
      </c>
      <c r="D16" s="31">
        <f t="shared" si="0"/>
        <v>0</v>
      </c>
    </row>
    <row r="17" spans="1:4" ht="12.75" customHeight="1">
      <c r="A17" s="14" t="s">
        <v>46</v>
      </c>
      <c r="B17" s="32">
        <v>0</v>
      </c>
      <c r="C17" s="32">
        <v>0</v>
      </c>
      <c r="D17" s="31">
        <f t="shared" si="0"/>
        <v>0</v>
      </c>
    </row>
    <row r="18" spans="1:4" ht="12.75" customHeight="1">
      <c r="A18" s="14" t="s">
        <v>47</v>
      </c>
      <c r="B18" s="32">
        <v>0</v>
      </c>
      <c r="C18" s="32">
        <v>0</v>
      </c>
      <c r="D18" s="31">
        <f t="shared" si="0"/>
        <v>0</v>
      </c>
    </row>
    <row r="19" spans="1:4" ht="12.75" customHeight="1">
      <c r="A19" s="14" t="s">
        <v>48</v>
      </c>
      <c r="B19" s="32">
        <v>0</v>
      </c>
      <c r="C19" s="32">
        <v>0</v>
      </c>
      <c r="D19" s="31">
        <f t="shared" si="0"/>
        <v>0</v>
      </c>
    </row>
    <row r="20" spans="1:4" ht="12.75" customHeight="1">
      <c r="A20" s="14" t="s">
        <v>49</v>
      </c>
      <c r="B20" s="32">
        <v>0</v>
      </c>
      <c r="C20" s="32">
        <v>0</v>
      </c>
      <c r="D20" s="31">
        <f t="shared" si="0"/>
        <v>0</v>
      </c>
    </row>
    <row r="21" spans="1:4" ht="12.75" customHeight="1">
      <c r="A21" s="14" t="s">
        <v>50</v>
      </c>
      <c r="B21" s="32">
        <v>0</v>
      </c>
      <c r="C21" s="32">
        <v>0</v>
      </c>
      <c r="D21" s="31">
        <f t="shared" si="0"/>
        <v>0</v>
      </c>
    </row>
    <row r="22" spans="1:4" ht="13.5" customHeight="1">
      <c r="A22" s="14" t="s">
        <v>51</v>
      </c>
      <c r="B22" s="32">
        <v>515</v>
      </c>
      <c r="C22" s="32">
        <v>415</v>
      </c>
      <c r="D22" s="31">
        <f t="shared" si="0"/>
        <v>-100</v>
      </c>
    </row>
    <row r="23" spans="1:4">
      <c r="A23" s="18" t="s">
        <v>119</v>
      </c>
      <c r="B23" s="26">
        <f>SUM(B5:B22)</f>
        <v>515</v>
      </c>
      <c r="C23" s="26">
        <f>SUM(C5:C22)</f>
        <v>415</v>
      </c>
      <c r="D23" s="26">
        <f>SUM(D5:D22)</f>
        <v>-100</v>
      </c>
    </row>
    <row r="24" spans="1:4">
      <c r="A24" s="16"/>
      <c r="B24" s="27"/>
      <c r="C24" s="28"/>
      <c r="D24" s="27"/>
    </row>
    <row r="25" spans="1:4" ht="14">
      <c r="A25" s="15" t="s">
        <v>52</v>
      </c>
      <c r="B25" s="25" t="str">
        <f>B4</f>
        <v>FY21 Audited Enrollment</v>
      </c>
      <c r="C25" s="25" t="str">
        <f>C4</f>
        <v>FY22 Budgeted Enrollment</v>
      </c>
      <c r="D25" s="25" t="str">
        <f>D4</f>
        <v>Increase (Decrease)</v>
      </c>
    </row>
    <row r="26" spans="1:4">
      <c r="A26" s="14" t="s">
        <v>53</v>
      </c>
      <c r="B26" s="32">
        <v>0</v>
      </c>
      <c r="C26" s="32">
        <v>0</v>
      </c>
      <c r="D26" s="31">
        <f t="shared" ref="D26:D29" si="1">C26-B26</f>
        <v>0</v>
      </c>
    </row>
    <row r="27" spans="1:4" ht="12.75" customHeight="1">
      <c r="A27" s="14" t="s">
        <v>54</v>
      </c>
      <c r="B27" s="32">
        <v>0</v>
      </c>
      <c r="C27" s="32">
        <v>0</v>
      </c>
      <c r="D27" s="31">
        <f t="shared" si="1"/>
        <v>0</v>
      </c>
    </row>
    <row r="28" spans="1:4" ht="12.75" customHeight="1">
      <c r="A28" s="14" t="s">
        <v>55</v>
      </c>
      <c r="B28" s="32">
        <v>0</v>
      </c>
      <c r="C28" s="32">
        <v>0</v>
      </c>
      <c r="D28" s="31">
        <f t="shared" si="1"/>
        <v>0</v>
      </c>
    </row>
    <row r="29" spans="1:4" ht="12.75" customHeight="1">
      <c r="A29" s="14" t="s">
        <v>56</v>
      </c>
      <c r="B29" s="32">
        <v>0</v>
      </c>
      <c r="C29" s="32">
        <v>0</v>
      </c>
      <c r="D29" s="31">
        <f t="shared" si="1"/>
        <v>0</v>
      </c>
    </row>
    <row r="30" spans="1:4" ht="13.5" customHeight="1">
      <c r="A30" s="18" t="s">
        <v>57</v>
      </c>
      <c r="B30" s="26">
        <f>SUM(B26:B29)</f>
        <v>0</v>
      </c>
      <c r="C30" s="26">
        <f>SUM(C26:C29)</f>
        <v>0</v>
      </c>
      <c r="D30" s="26">
        <f>SUM(D26:D29)</f>
        <v>0</v>
      </c>
    </row>
    <row r="31" spans="1:4">
      <c r="A31" s="9"/>
      <c r="B31" s="28"/>
      <c r="C31" s="28"/>
      <c r="D31" s="28"/>
    </row>
    <row r="32" spans="1:4" ht="32.25" customHeight="1">
      <c r="A32" s="10" t="s">
        <v>112</v>
      </c>
      <c r="B32" s="25" t="str">
        <f>B25</f>
        <v>FY21 Audited Enrollment</v>
      </c>
      <c r="C32" s="25" t="str">
        <f>C25</f>
        <v>FY22 Budgeted Enrollment</v>
      </c>
      <c r="D32" s="25" t="str">
        <f>D25</f>
        <v>Increase (Decrease)</v>
      </c>
    </row>
    <row r="33" spans="1:4" ht="12.75" customHeight="1">
      <c r="A33" s="17" t="s">
        <v>124</v>
      </c>
      <c r="B33" s="92">
        <v>0</v>
      </c>
      <c r="C33" s="32">
        <v>0</v>
      </c>
      <c r="D33" s="90"/>
    </row>
    <row r="34" spans="1:4" ht="12.75" customHeight="1">
      <c r="A34" s="17" t="s">
        <v>113</v>
      </c>
      <c r="B34" s="93"/>
      <c r="C34" s="32">
        <v>0</v>
      </c>
      <c r="D34" s="91"/>
    </row>
    <row r="35" spans="1:4">
      <c r="A35" s="13" t="s">
        <v>118</v>
      </c>
      <c r="B35" s="26">
        <f>SUM(B33:B34)</f>
        <v>0</v>
      </c>
      <c r="C35" s="26">
        <f>SUM(C33:C34)</f>
        <v>0</v>
      </c>
      <c r="D35" s="26">
        <f>SUM(D33:D34)</f>
        <v>0</v>
      </c>
    </row>
    <row r="36" spans="1:4">
      <c r="A36" s="8"/>
      <c r="B36" s="28"/>
      <c r="C36" s="28"/>
      <c r="D36" s="28"/>
    </row>
    <row r="37" spans="1:4" ht="12.75" customHeight="1">
      <c r="A37" s="10" t="s">
        <v>58</v>
      </c>
      <c r="B37" s="25" t="str">
        <f>B32</f>
        <v>FY21 Audited Enrollment</v>
      </c>
      <c r="C37" s="25" t="str">
        <f>C32</f>
        <v>FY22 Budgeted Enrollment</v>
      </c>
      <c r="D37" s="25" t="str">
        <f>D32</f>
        <v>Increase (Decrease)</v>
      </c>
    </row>
    <row r="38" spans="1:4" ht="12.75" customHeight="1">
      <c r="A38" s="11" t="s">
        <v>59</v>
      </c>
      <c r="B38" s="32">
        <v>0</v>
      </c>
      <c r="C38" s="32">
        <v>0</v>
      </c>
      <c r="D38" s="31">
        <f t="shared" ref="D38:D41" si="2">C38-B38</f>
        <v>0</v>
      </c>
    </row>
    <row r="39" spans="1:4" ht="12.75" customHeight="1">
      <c r="A39" s="11" t="s">
        <v>60</v>
      </c>
      <c r="B39" s="32">
        <v>0</v>
      </c>
      <c r="C39" s="32">
        <v>0</v>
      </c>
      <c r="D39" s="31">
        <f t="shared" si="2"/>
        <v>0</v>
      </c>
    </row>
    <row r="40" spans="1:4" ht="12.75" customHeight="1">
      <c r="A40" s="11" t="s">
        <v>61</v>
      </c>
      <c r="B40" s="32">
        <v>0</v>
      </c>
      <c r="C40" s="32">
        <v>0</v>
      </c>
      <c r="D40" s="31">
        <f t="shared" si="2"/>
        <v>0</v>
      </c>
    </row>
    <row r="41" spans="1:4" ht="12.75" customHeight="1">
      <c r="A41" s="11" t="s">
        <v>62</v>
      </c>
      <c r="B41" s="32">
        <v>0</v>
      </c>
      <c r="C41" s="32">
        <v>0</v>
      </c>
      <c r="D41" s="31">
        <f t="shared" si="2"/>
        <v>0</v>
      </c>
    </row>
    <row r="42" spans="1:4" ht="13.5" customHeight="1">
      <c r="A42" s="13" t="s">
        <v>63</v>
      </c>
      <c r="B42" s="26">
        <f>SUM(B38:B41)</f>
        <v>0</v>
      </c>
      <c r="C42" s="26">
        <f>SUM(C38:C41)</f>
        <v>0</v>
      </c>
      <c r="D42" s="26">
        <f>SUM(D38:D41)</f>
        <v>0</v>
      </c>
    </row>
    <row r="43" spans="1:4" ht="13.5" customHeight="1">
      <c r="A43" s="7"/>
      <c r="B43" s="28"/>
      <c r="C43" s="29"/>
      <c r="D43" s="28"/>
    </row>
    <row r="44" spans="1:4" ht="14">
      <c r="A44" s="12" t="s">
        <v>120</v>
      </c>
      <c r="B44" s="25" t="str">
        <f>B32</f>
        <v>FY21 Audited Enrollment</v>
      </c>
      <c r="C44" s="25" t="str">
        <f>C32</f>
        <v>FY22 Budgeted Enrollment</v>
      </c>
      <c r="D44" s="25" t="str">
        <f>D32</f>
        <v>Increase (Decrease)</v>
      </c>
    </row>
    <row r="45" spans="1:4" ht="13.5" customHeight="1">
      <c r="A45" s="11" t="s">
        <v>64</v>
      </c>
      <c r="B45" s="33">
        <v>0</v>
      </c>
      <c r="C45" s="33">
        <v>0</v>
      </c>
      <c r="D45" s="31">
        <f>C45-B45</f>
        <v>0</v>
      </c>
    </row>
    <row r="46" spans="1:4" ht="13.5" customHeight="1">
      <c r="A46" s="8"/>
      <c r="B46" s="28"/>
      <c r="C46" s="30"/>
      <c r="D46" s="28"/>
    </row>
    <row r="47" spans="1:4" ht="12.75" customHeight="1">
      <c r="A47" s="10" t="s">
        <v>65</v>
      </c>
      <c r="B47" s="25" t="str">
        <f>B44</f>
        <v>FY21 Audited Enrollment</v>
      </c>
      <c r="C47" s="25" t="str">
        <f>C44</f>
        <v>FY22 Budgeted Enrollment</v>
      </c>
      <c r="D47" s="25" t="str">
        <f>D44</f>
        <v>Increase (Decrease)</v>
      </c>
    </row>
    <row r="48" spans="1:4" ht="13.5" customHeight="1">
      <c r="A48" s="11" t="s">
        <v>65</v>
      </c>
      <c r="B48" s="33">
        <v>0</v>
      </c>
      <c r="C48" s="33">
        <v>0</v>
      </c>
      <c r="D48" s="31">
        <f>C48-B48</f>
        <v>0</v>
      </c>
    </row>
    <row r="49" spans="1:4">
      <c r="A49" s="8"/>
      <c r="B49" s="28"/>
      <c r="C49" s="30"/>
      <c r="D49" s="28"/>
    </row>
    <row r="50" spans="1:4" ht="12.75" customHeight="1">
      <c r="A50" s="10" t="s">
        <v>78</v>
      </c>
      <c r="B50" s="25" t="str">
        <f>B47</f>
        <v>FY21 Audited Enrollment</v>
      </c>
      <c r="C50" s="25" t="str">
        <f>C47</f>
        <v>FY22 Budgeted Enrollment</v>
      </c>
      <c r="D50" s="25" t="str">
        <f>D47</f>
        <v>Increase (Decrease)</v>
      </c>
    </row>
    <row r="51" spans="1:4" ht="12.75" customHeight="1">
      <c r="A51" s="17" t="s">
        <v>114</v>
      </c>
      <c r="B51" s="92">
        <v>0</v>
      </c>
      <c r="C51" s="32">
        <v>0</v>
      </c>
      <c r="D51" s="90"/>
    </row>
    <row r="52" spans="1:4" ht="12.75" customHeight="1">
      <c r="A52" s="17" t="s">
        <v>115</v>
      </c>
      <c r="B52" s="93"/>
      <c r="C52" s="32">
        <v>0</v>
      </c>
      <c r="D52" s="91"/>
    </row>
    <row r="53" spans="1:4" ht="13.5" customHeight="1">
      <c r="A53" s="13" t="s">
        <v>117</v>
      </c>
      <c r="B53" s="26">
        <f>SUM(B51:B52)</f>
        <v>0</v>
      </c>
      <c r="C53" s="26">
        <f>SUM(C51:C52)</f>
        <v>0</v>
      </c>
      <c r="D53" s="26">
        <f>SUM(D51:D52)</f>
        <v>0</v>
      </c>
    </row>
    <row r="54" spans="1:4">
      <c r="A54" s="8"/>
      <c r="B54" s="28"/>
      <c r="C54" s="28"/>
      <c r="D54" s="28"/>
    </row>
    <row r="55" spans="1:4" ht="14">
      <c r="A55" s="10" t="s">
        <v>66</v>
      </c>
      <c r="B55" s="25" t="str">
        <f>B44</f>
        <v>FY21 Audited Enrollment</v>
      </c>
      <c r="C55" s="25" t="str">
        <f>C44</f>
        <v>FY22 Budgeted Enrollment</v>
      </c>
      <c r="D55" s="25" t="str">
        <f>D44</f>
        <v>Increase (Decrease)</v>
      </c>
    </row>
    <row r="56" spans="1:4" ht="12.75" customHeight="1">
      <c r="A56" s="11" t="s">
        <v>67</v>
      </c>
      <c r="B56" s="32">
        <v>0</v>
      </c>
      <c r="C56" s="32">
        <v>0</v>
      </c>
      <c r="D56" s="31">
        <f t="shared" ref="D56:D59" si="3">C56-B56</f>
        <v>0</v>
      </c>
    </row>
    <row r="57" spans="1:4" ht="12.75" customHeight="1">
      <c r="A57" s="11" t="s">
        <v>68</v>
      </c>
      <c r="B57" s="32">
        <v>0</v>
      </c>
      <c r="C57" s="32">
        <v>0</v>
      </c>
      <c r="D57" s="31">
        <f t="shared" si="3"/>
        <v>0</v>
      </c>
    </row>
    <row r="58" spans="1:4" ht="12.75" customHeight="1">
      <c r="A58" s="11" t="s">
        <v>69</v>
      </c>
      <c r="B58" s="32">
        <v>0</v>
      </c>
      <c r="C58" s="32">
        <v>0</v>
      </c>
      <c r="D58" s="31">
        <f t="shared" si="3"/>
        <v>0</v>
      </c>
    </row>
    <row r="59" spans="1:4" ht="12.75" customHeight="1">
      <c r="A59" s="11" t="s">
        <v>70</v>
      </c>
      <c r="B59" s="32">
        <v>0</v>
      </c>
      <c r="C59" s="32">
        <v>0</v>
      </c>
      <c r="D59" s="31">
        <f t="shared" si="3"/>
        <v>0</v>
      </c>
    </row>
    <row r="60" spans="1:4" ht="14.25" customHeight="1">
      <c r="A60" s="13" t="s">
        <v>71</v>
      </c>
      <c r="B60" s="26">
        <f>SUM(B56:B59)</f>
        <v>0</v>
      </c>
      <c r="C60" s="26">
        <f>SUM(C56:C59)</f>
        <v>0</v>
      </c>
      <c r="D60" s="26">
        <f>SUM(D56:D59)</f>
        <v>0</v>
      </c>
    </row>
    <row r="61" spans="1:4">
      <c r="A61" s="7"/>
      <c r="B61" s="28"/>
      <c r="C61" s="28"/>
      <c r="D61" s="28"/>
    </row>
  </sheetData>
  <sheetProtection algorithmName="SHA-512" hashValue="VNVOQamhhc4+giiIMtZqm26xhYFpVZIXv7Bq2rWKvFl5GVZakuzfDCE+gyIhzruX0gb9CJHFg1vhyT79kg3C7g==" saltValue="T6u7GTj77SzwrIh8QzLRPA==" spinCount="100000" sheet="1" objects="1" scenarios="1"/>
  <mergeCells count="4">
    <mergeCell ref="D33:D34"/>
    <mergeCell ref="D51:D52"/>
    <mergeCell ref="B51:B52"/>
    <mergeCell ref="B33:B34"/>
  </mergeCells>
  <phoneticPr fontId="64" type="noConversion"/>
  <dataValidations count="1">
    <dataValidation type="whole" allowBlank="1" showInputMessage="1" showErrorMessage="1" sqref="B5:C22 B26:C29 B33:C34 B38:C41 B45:C45 B48:C48 B51:C52 B56:C59" xr:uid="{E1E81363-F433-EF49-99AF-AF82C090C992}">
      <formula1>0</formula1>
      <formula2>1000000</formula2>
    </dataValidation>
  </dataValidations>
  <pageMargins left="1.25" right="0.25" top="0.55000000000000004" bottom="0.43" header="0.25" footer="0.26"/>
  <pageSetup scale="91" orientation="portrait"/>
  <headerFooter alignWithMargins="0"/>
  <legacy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AB64"/>
  <sheetViews>
    <sheetView tabSelected="1" zoomScaleNormal="100" workbookViewId="0">
      <selection activeCell="B1" sqref="B1"/>
    </sheetView>
  </sheetViews>
  <sheetFormatPr baseColWidth="10" defaultColWidth="9.1640625" defaultRowHeight="12.75" customHeight="1"/>
  <cols>
    <col min="1" max="1" width="1.83203125" style="35" customWidth="1"/>
    <col min="2" max="2" width="45.83203125" style="35" bestFit="1" customWidth="1"/>
    <col min="3" max="3" width="2.83203125" style="35" customWidth="1"/>
    <col min="4" max="4" width="10.6640625" style="35" customWidth="1"/>
    <col min="5" max="5" width="2.6640625" style="35" customWidth="1"/>
    <col min="6" max="6" width="13.33203125" style="35" bestFit="1" customWidth="1"/>
    <col min="7" max="7" width="2.6640625" style="35" customWidth="1"/>
    <col min="8" max="23" width="10.6640625" style="35" customWidth="1"/>
    <col min="24" max="24" width="1.83203125" style="35" customWidth="1"/>
    <col min="25" max="25" width="14.83203125" style="35" customWidth="1"/>
    <col min="26" max="26" width="1.83203125" style="35" customWidth="1"/>
    <col min="27" max="27" width="14.83203125" style="35" customWidth="1"/>
    <col min="28" max="28" width="7.33203125" style="56" bestFit="1" customWidth="1"/>
    <col min="29" max="16384" width="9.1640625" style="35"/>
  </cols>
  <sheetData>
    <row r="1" spans="1:28" ht="12.75" customHeight="1">
      <c r="A1" s="34" t="str">
        <f>'1 Instructions - Read First'!B2</f>
        <v>Academy of Hope Adult PCS</v>
      </c>
      <c r="B1" s="34"/>
    </row>
    <row r="2" spans="1:28" ht="12.75" customHeight="1">
      <c r="A2" s="35" t="str">
        <f>'1 Instructions - Read First'!B8&amp;" Annual Budget"</f>
        <v>FY22 Annual Budget</v>
      </c>
    </row>
    <row r="3" spans="1:28" ht="13">
      <c r="A3" s="36"/>
      <c r="C3" s="36"/>
      <c r="X3" s="36"/>
    </row>
    <row r="4" spans="1:28" ht="13">
      <c r="C4" s="36"/>
      <c r="D4" s="37" t="s">
        <v>127</v>
      </c>
      <c r="E4" s="38"/>
      <c r="F4" s="38"/>
      <c r="G4" s="38"/>
      <c r="H4" s="37" t="s">
        <v>79</v>
      </c>
      <c r="I4" s="37" t="s">
        <v>80</v>
      </c>
      <c r="J4" s="37" t="s">
        <v>81</v>
      </c>
      <c r="K4" s="37" t="s">
        <v>72</v>
      </c>
      <c r="L4" s="37" t="s">
        <v>82</v>
      </c>
      <c r="M4" s="37" t="s">
        <v>83</v>
      </c>
      <c r="N4" s="37" t="s">
        <v>84</v>
      </c>
      <c r="O4" s="37" t="s">
        <v>73</v>
      </c>
      <c r="P4" s="37" t="s">
        <v>85</v>
      </c>
      <c r="Q4" s="37" t="s">
        <v>86</v>
      </c>
      <c r="R4" s="37" t="s">
        <v>87</v>
      </c>
      <c r="S4" s="37" t="s">
        <v>74</v>
      </c>
      <c r="T4" s="37" t="s">
        <v>88</v>
      </c>
      <c r="U4" s="37" t="s">
        <v>89</v>
      </c>
      <c r="V4" s="37" t="s">
        <v>90</v>
      </c>
      <c r="W4" s="37" t="s">
        <v>75</v>
      </c>
      <c r="X4" s="36"/>
      <c r="Y4" s="37" t="s">
        <v>111</v>
      </c>
      <c r="AA4" s="94" t="s">
        <v>128</v>
      </c>
      <c r="AB4" s="94"/>
    </row>
    <row r="5" spans="1:28" ht="13">
      <c r="C5" s="36"/>
      <c r="D5" s="65" t="s">
        <v>216</v>
      </c>
      <c r="E5" s="40"/>
      <c r="F5" s="40"/>
      <c r="G5" s="40"/>
      <c r="H5" s="39" t="s">
        <v>0</v>
      </c>
      <c r="I5" s="39" t="str">
        <f>H5</f>
        <v>Budget</v>
      </c>
      <c r="J5" s="39" t="str">
        <f t="shared" ref="J5:W5" si="0">I5</f>
        <v>Budget</v>
      </c>
      <c r="K5" s="39" t="str">
        <f t="shared" si="0"/>
        <v>Budget</v>
      </c>
      <c r="L5" s="39" t="str">
        <f t="shared" si="0"/>
        <v>Budget</v>
      </c>
      <c r="M5" s="39" t="str">
        <f t="shared" si="0"/>
        <v>Budget</v>
      </c>
      <c r="N5" s="39" t="str">
        <f t="shared" si="0"/>
        <v>Budget</v>
      </c>
      <c r="O5" s="39" t="str">
        <f t="shared" si="0"/>
        <v>Budget</v>
      </c>
      <c r="P5" s="39" t="str">
        <f t="shared" si="0"/>
        <v>Budget</v>
      </c>
      <c r="Q5" s="39" t="str">
        <f t="shared" si="0"/>
        <v>Budget</v>
      </c>
      <c r="R5" s="39" t="str">
        <f t="shared" si="0"/>
        <v>Budget</v>
      </c>
      <c r="S5" s="39" t="str">
        <f t="shared" si="0"/>
        <v>Budget</v>
      </c>
      <c r="T5" s="39" t="str">
        <f t="shared" si="0"/>
        <v>Budget</v>
      </c>
      <c r="U5" s="39" t="str">
        <f t="shared" si="0"/>
        <v>Budget</v>
      </c>
      <c r="V5" s="39" t="str">
        <f t="shared" si="0"/>
        <v>Budget</v>
      </c>
      <c r="W5" s="39" t="str">
        <f t="shared" si="0"/>
        <v>Budget</v>
      </c>
      <c r="X5" s="36"/>
      <c r="Y5" s="39" t="s">
        <v>77</v>
      </c>
      <c r="AA5" s="39" t="s">
        <v>129</v>
      </c>
      <c r="AB5" s="56" t="s">
        <v>130</v>
      </c>
    </row>
    <row r="6" spans="1:28" ht="13">
      <c r="A6" s="34" t="s">
        <v>1</v>
      </c>
      <c r="C6" s="36"/>
      <c r="X6" s="36"/>
    </row>
    <row r="7" spans="1:28" ht="13">
      <c r="B7" s="35" t="s">
        <v>91</v>
      </c>
      <c r="C7" s="36"/>
      <c r="D7" s="60">
        <v>5183938.085</v>
      </c>
      <c r="E7" s="41"/>
      <c r="F7" s="41"/>
      <c r="G7" s="41"/>
      <c r="H7" s="60">
        <v>1514706.5499999998</v>
      </c>
      <c r="I7" s="60">
        <v>0</v>
      </c>
      <c r="J7" s="60">
        <v>0</v>
      </c>
      <c r="K7" s="41">
        <f>SUM(H7:J7)</f>
        <v>1514706.5499999998</v>
      </c>
      <c r="L7" s="60">
        <v>1081933.25</v>
      </c>
      <c r="M7" s="60">
        <v>0</v>
      </c>
      <c r="N7" s="60">
        <v>0</v>
      </c>
      <c r="O7" s="41">
        <f>SUM(L7:N7)</f>
        <v>1081933.25</v>
      </c>
      <c r="P7" s="60">
        <v>865546.60000000009</v>
      </c>
      <c r="Q7" s="60">
        <v>0</v>
      </c>
      <c r="R7" s="60">
        <v>0</v>
      </c>
      <c r="S7" s="41">
        <f>SUM(P7:R7)</f>
        <v>865546.60000000009</v>
      </c>
      <c r="T7" s="60">
        <v>865546.60000000009</v>
      </c>
      <c r="U7" s="60">
        <v>0</v>
      </c>
      <c r="V7" s="60">
        <v>0</v>
      </c>
      <c r="W7" s="41">
        <f>SUM(T7:V7)</f>
        <v>865546.60000000009</v>
      </c>
      <c r="X7" s="36"/>
      <c r="Y7" s="35">
        <f>SUM(K7,O7,S7,W7)</f>
        <v>4327733</v>
      </c>
      <c r="AA7" s="35">
        <f t="shared" ref="AA7:AA8" si="1">Y7-D7</f>
        <v>-856205.08499999996</v>
      </c>
      <c r="AB7" s="56">
        <f t="shared" ref="AB7:AB8" si="2">IF(D7,AA7/D7,"")</f>
        <v>-0.16516499058456635</v>
      </c>
    </row>
    <row r="8" spans="1:28" ht="13">
      <c r="B8" s="35" t="s">
        <v>92</v>
      </c>
      <c r="C8" s="36"/>
      <c r="D8" s="60">
        <v>0</v>
      </c>
      <c r="E8" s="41"/>
      <c r="F8" s="41"/>
      <c r="G8" s="41"/>
      <c r="H8" s="60">
        <v>0</v>
      </c>
      <c r="I8" s="60">
        <v>0</v>
      </c>
      <c r="J8" s="60">
        <v>0</v>
      </c>
      <c r="K8" s="41">
        <f t="shared" ref="K8:K15" si="3">SUM(H8:J8)</f>
        <v>0</v>
      </c>
      <c r="L8" s="60">
        <v>0</v>
      </c>
      <c r="M8" s="60">
        <v>0</v>
      </c>
      <c r="N8" s="60">
        <v>0</v>
      </c>
      <c r="O8" s="41">
        <f t="shared" ref="O8:O15" si="4">SUM(L8:N8)</f>
        <v>0</v>
      </c>
      <c r="P8" s="60">
        <v>0</v>
      </c>
      <c r="Q8" s="60">
        <v>0</v>
      </c>
      <c r="R8" s="60">
        <v>0</v>
      </c>
      <c r="S8" s="41">
        <f t="shared" ref="S8:S15" si="5">SUM(P8:R8)</f>
        <v>0</v>
      </c>
      <c r="T8" s="60">
        <v>0</v>
      </c>
      <c r="U8" s="60">
        <v>0</v>
      </c>
      <c r="V8" s="60">
        <v>0</v>
      </c>
      <c r="W8" s="41">
        <f t="shared" ref="W8:W15" si="6">SUM(T8:V8)</f>
        <v>0</v>
      </c>
      <c r="X8" s="36"/>
      <c r="Y8" s="35">
        <f t="shared" ref="Y8:Y15" si="7">SUM(K8,O8,S8,W8)</f>
        <v>0</v>
      </c>
      <c r="AA8" s="35">
        <f t="shared" si="1"/>
        <v>0</v>
      </c>
      <c r="AB8" s="56" t="str">
        <f t="shared" si="2"/>
        <v/>
      </c>
    </row>
    <row r="9" spans="1:28" ht="13">
      <c r="B9" s="35" t="s">
        <v>2</v>
      </c>
      <c r="C9" s="36"/>
      <c r="D9" s="60">
        <v>1755120</v>
      </c>
      <c r="E9" s="41"/>
      <c r="F9" s="41"/>
      <c r="G9" s="41"/>
      <c r="H9" s="60">
        <v>495011.99999999994</v>
      </c>
      <c r="I9" s="60">
        <v>0</v>
      </c>
      <c r="J9" s="60">
        <v>0</v>
      </c>
      <c r="K9" s="41">
        <f t="shared" si="3"/>
        <v>495011.99999999994</v>
      </c>
      <c r="L9" s="60">
        <v>919308</v>
      </c>
      <c r="M9" s="60">
        <v>0</v>
      </c>
      <c r="N9" s="60">
        <v>0</v>
      </c>
      <c r="O9" s="41">
        <f t="shared" si="4"/>
        <v>919308</v>
      </c>
      <c r="P9" s="60">
        <v>0</v>
      </c>
      <c r="Q9" s="60">
        <v>0</v>
      </c>
      <c r="R9" s="60">
        <v>0</v>
      </c>
      <c r="S9" s="41">
        <f t="shared" si="5"/>
        <v>0</v>
      </c>
      <c r="T9" s="60">
        <v>0</v>
      </c>
      <c r="U9" s="60">
        <v>0</v>
      </c>
      <c r="V9" s="60">
        <v>0</v>
      </c>
      <c r="W9" s="41">
        <f t="shared" si="6"/>
        <v>0</v>
      </c>
      <c r="X9" s="36"/>
      <c r="Y9" s="35">
        <f t="shared" si="7"/>
        <v>1414320</v>
      </c>
      <c r="AA9" s="35">
        <f t="shared" ref="AA9:AA64" si="8">Y9-D9</f>
        <v>-340800</v>
      </c>
      <c r="AB9" s="56">
        <f t="shared" ref="AB9:AB64" si="9">IF(D9,AA9/D9,"")</f>
        <v>-0.1941747572815534</v>
      </c>
    </row>
    <row r="10" spans="1:28" ht="13">
      <c r="B10" s="35" t="s">
        <v>104</v>
      </c>
      <c r="C10" s="36"/>
      <c r="D10" s="60">
        <v>0</v>
      </c>
      <c r="E10" s="41"/>
      <c r="F10" s="41"/>
      <c r="G10" s="41"/>
      <c r="H10" s="60">
        <v>0</v>
      </c>
      <c r="I10" s="60">
        <v>0</v>
      </c>
      <c r="J10" s="60">
        <v>0</v>
      </c>
      <c r="K10" s="41">
        <f t="shared" si="3"/>
        <v>0</v>
      </c>
      <c r="L10" s="60">
        <v>0</v>
      </c>
      <c r="M10" s="60">
        <v>0</v>
      </c>
      <c r="N10" s="60">
        <v>0</v>
      </c>
      <c r="O10" s="41">
        <f t="shared" si="4"/>
        <v>0</v>
      </c>
      <c r="P10" s="60">
        <v>0</v>
      </c>
      <c r="Q10" s="60">
        <v>0</v>
      </c>
      <c r="R10" s="60">
        <v>0</v>
      </c>
      <c r="S10" s="41">
        <f t="shared" si="5"/>
        <v>0</v>
      </c>
      <c r="T10" s="60">
        <v>0</v>
      </c>
      <c r="U10" s="60">
        <v>0</v>
      </c>
      <c r="V10" s="60">
        <v>0</v>
      </c>
      <c r="W10" s="41">
        <f t="shared" si="6"/>
        <v>0</v>
      </c>
      <c r="X10" s="36"/>
      <c r="Y10" s="35">
        <f t="shared" si="7"/>
        <v>0</v>
      </c>
      <c r="AA10" s="35">
        <f t="shared" si="8"/>
        <v>0</v>
      </c>
      <c r="AB10" s="56" t="str">
        <f t="shared" si="9"/>
        <v/>
      </c>
    </row>
    <row r="11" spans="1:28" ht="13">
      <c r="B11" s="35" t="s">
        <v>3</v>
      </c>
      <c r="C11" s="36"/>
      <c r="D11" s="60">
        <v>1150754.9768750002</v>
      </c>
      <c r="E11" s="41"/>
      <c r="F11" s="41"/>
      <c r="G11" s="41"/>
      <c r="H11" s="60">
        <v>95721.666666666657</v>
      </c>
      <c r="I11" s="60">
        <v>95721.666666666657</v>
      </c>
      <c r="J11" s="60">
        <v>95721.666666666657</v>
      </c>
      <c r="K11" s="41">
        <f t="shared" si="3"/>
        <v>287165</v>
      </c>
      <c r="L11" s="60">
        <v>95721.666666666657</v>
      </c>
      <c r="M11" s="60">
        <v>95721.666666666657</v>
      </c>
      <c r="N11" s="60">
        <v>95721.666666666657</v>
      </c>
      <c r="O11" s="41">
        <f t="shared" si="4"/>
        <v>287165</v>
      </c>
      <c r="P11" s="60">
        <v>95721.666666666657</v>
      </c>
      <c r="Q11" s="60">
        <v>95721.666666666657</v>
      </c>
      <c r="R11" s="60">
        <v>95721.666666666657</v>
      </c>
      <c r="S11" s="41">
        <f t="shared" si="5"/>
        <v>287165</v>
      </c>
      <c r="T11" s="60">
        <v>95721.666666666657</v>
      </c>
      <c r="U11" s="60">
        <v>95721.666666666657</v>
      </c>
      <c r="V11" s="60">
        <v>95721.666666666657</v>
      </c>
      <c r="W11" s="41">
        <f t="shared" si="6"/>
        <v>287165</v>
      </c>
      <c r="X11" s="36"/>
      <c r="Y11" s="35">
        <f t="shared" si="7"/>
        <v>1148660</v>
      </c>
      <c r="AA11" s="35">
        <f t="shared" si="8"/>
        <v>-2094.9768750001676</v>
      </c>
      <c r="AB11" s="56">
        <f t="shared" si="9"/>
        <v>-1.8205238448668754E-3</v>
      </c>
    </row>
    <row r="12" spans="1:28" ht="13">
      <c r="B12" s="35" t="s">
        <v>4</v>
      </c>
      <c r="C12" s="36"/>
      <c r="D12" s="60">
        <v>1238310.5869165033</v>
      </c>
      <c r="E12" s="41"/>
      <c r="F12" s="41"/>
      <c r="G12" s="41"/>
      <c r="H12" s="60">
        <v>73333.333333333314</v>
      </c>
      <c r="I12" s="60">
        <v>73333.333333333314</v>
      </c>
      <c r="J12" s="60">
        <v>73333.333333333314</v>
      </c>
      <c r="K12" s="41">
        <f t="shared" si="3"/>
        <v>219999.99999999994</v>
      </c>
      <c r="L12" s="60">
        <v>223333.33333333334</v>
      </c>
      <c r="M12" s="60">
        <v>73333.333333333314</v>
      </c>
      <c r="N12" s="60">
        <v>73333.333333333314</v>
      </c>
      <c r="O12" s="41">
        <f t="shared" si="4"/>
        <v>369999.99999999994</v>
      </c>
      <c r="P12" s="60">
        <v>73333.333333333314</v>
      </c>
      <c r="Q12" s="60">
        <v>73333.333333333314</v>
      </c>
      <c r="R12" s="60">
        <v>73333.333333333314</v>
      </c>
      <c r="S12" s="41">
        <f t="shared" si="5"/>
        <v>219999.99999999994</v>
      </c>
      <c r="T12" s="60">
        <v>73333.333333333314</v>
      </c>
      <c r="U12" s="60">
        <v>73333.333333333314</v>
      </c>
      <c r="V12" s="60">
        <v>73333.333333333314</v>
      </c>
      <c r="W12" s="41">
        <f t="shared" si="6"/>
        <v>219999.99999999994</v>
      </c>
      <c r="X12" s="36"/>
      <c r="Y12" s="35">
        <f t="shared" si="7"/>
        <v>1029999.9999999998</v>
      </c>
      <c r="AA12" s="35">
        <f t="shared" si="8"/>
        <v>-208310.5869165035</v>
      </c>
      <c r="AB12" s="56">
        <f t="shared" si="9"/>
        <v>-0.16822159894087174</v>
      </c>
    </row>
    <row r="13" spans="1:28" ht="13">
      <c r="B13" s="35" t="s">
        <v>5</v>
      </c>
      <c r="C13" s="36"/>
      <c r="D13" s="60">
        <v>351</v>
      </c>
      <c r="E13" s="41"/>
      <c r="F13" s="41"/>
      <c r="G13" s="41"/>
      <c r="H13" s="60">
        <v>0</v>
      </c>
      <c r="I13" s="60">
        <v>0</v>
      </c>
      <c r="J13" s="60">
        <v>0</v>
      </c>
      <c r="K13" s="41">
        <f t="shared" si="3"/>
        <v>0</v>
      </c>
      <c r="L13" s="60">
        <v>0</v>
      </c>
      <c r="M13" s="60">
        <v>0</v>
      </c>
      <c r="N13" s="60">
        <v>0</v>
      </c>
      <c r="O13" s="41">
        <f t="shared" si="4"/>
        <v>0</v>
      </c>
      <c r="P13" s="60">
        <v>0</v>
      </c>
      <c r="Q13" s="60">
        <v>0</v>
      </c>
      <c r="R13" s="60">
        <v>0</v>
      </c>
      <c r="S13" s="41">
        <f t="shared" si="5"/>
        <v>0</v>
      </c>
      <c r="T13" s="60">
        <v>0</v>
      </c>
      <c r="U13" s="60">
        <v>0</v>
      </c>
      <c r="V13" s="60">
        <v>0</v>
      </c>
      <c r="W13" s="41">
        <f t="shared" si="6"/>
        <v>0</v>
      </c>
      <c r="X13" s="36"/>
      <c r="Y13" s="35">
        <f t="shared" si="7"/>
        <v>0</v>
      </c>
      <c r="AA13" s="35">
        <f t="shared" si="8"/>
        <v>-351</v>
      </c>
      <c r="AB13" s="56">
        <f t="shared" si="9"/>
        <v>-1</v>
      </c>
    </row>
    <row r="14" spans="1:28" ht="13">
      <c r="B14" s="35" t="s">
        <v>93</v>
      </c>
      <c r="C14" s="36"/>
      <c r="D14" s="60">
        <v>310</v>
      </c>
      <c r="E14" s="41"/>
      <c r="F14" s="41"/>
      <c r="G14" s="41"/>
      <c r="H14" s="60">
        <v>0</v>
      </c>
      <c r="I14" s="60">
        <v>0</v>
      </c>
      <c r="J14" s="60">
        <v>0</v>
      </c>
      <c r="K14" s="41">
        <f t="shared" si="3"/>
        <v>0</v>
      </c>
      <c r="L14" s="60">
        <v>0</v>
      </c>
      <c r="M14" s="60">
        <v>0</v>
      </c>
      <c r="N14" s="60">
        <v>0</v>
      </c>
      <c r="O14" s="41">
        <f t="shared" si="4"/>
        <v>0</v>
      </c>
      <c r="P14" s="60">
        <v>0</v>
      </c>
      <c r="Q14" s="60">
        <v>0</v>
      </c>
      <c r="R14" s="60">
        <v>0</v>
      </c>
      <c r="S14" s="41">
        <f t="shared" si="5"/>
        <v>0</v>
      </c>
      <c r="T14" s="60">
        <v>0</v>
      </c>
      <c r="U14" s="60">
        <v>0</v>
      </c>
      <c r="V14" s="60">
        <v>0</v>
      </c>
      <c r="W14" s="41">
        <f t="shared" si="6"/>
        <v>0</v>
      </c>
      <c r="X14" s="36"/>
      <c r="Y14" s="35">
        <f t="shared" si="7"/>
        <v>0</v>
      </c>
      <c r="AA14" s="35">
        <f t="shared" si="8"/>
        <v>-310</v>
      </c>
      <c r="AB14" s="56">
        <f t="shared" si="9"/>
        <v>-1</v>
      </c>
    </row>
    <row r="15" spans="1:28" ht="13">
      <c r="B15" s="35" t="s">
        <v>6</v>
      </c>
      <c r="C15" s="36"/>
      <c r="D15" s="60">
        <v>6835.5000567626957</v>
      </c>
      <c r="E15" s="41"/>
      <c r="F15" s="41"/>
      <c r="G15" s="41"/>
      <c r="H15" s="60">
        <v>0</v>
      </c>
      <c r="I15" s="60">
        <v>0</v>
      </c>
      <c r="J15" s="60">
        <v>0</v>
      </c>
      <c r="K15" s="41">
        <f t="shared" si="3"/>
        <v>0</v>
      </c>
      <c r="L15" s="60">
        <v>0</v>
      </c>
      <c r="M15" s="60">
        <v>0</v>
      </c>
      <c r="N15" s="60">
        <v>0</v>
      </c>
      <c r="O15" s="41">
        <f t="shared" si="4"/>
        <v>0</v>
      </c>
      <c r="P15" s="60">
        <v>0</v>
      </c>
      <c r="Q15" s="60">
        <v>0</v>
      </c>
      <c r="R15" s="60">
        <v>0</v>
      </c>
      <c r="S15" s="41">
        <f t="shared" si="5"/>
        <v>0</v>
      </c>
      <c r="T15" s="60">
        <v>0</v>
      </c>
      <c r="U15" s="60">
        <v>0</v>
      </c>
      <c r="V15" s="60">
        <v>0</v>
      </c>
      <c r="W15" s="41">
        <f t="shared" si="6"/>
        <v>0</v>
      </c>
      <c r="X15" s="36"/>
      <c r="Y15" s="42">
        <f t="shared" si="7"/>
        <v>0</v>
      </c>
      <c r="AA15" s="42">
        <f t="shared" si="8"/>
        <v>-6835.5000567626957</v>
      </c>
      <c r="AB15" s="59">
        <f t="shared" si="9"/>
        <v>-1</v>
      </c>
    </row>
    <row r="16" spans="1:28" ht="13">
      <c r="B16" s="43" t="s">
        <v>7</v>
      </c>
      <c r="C16" s="36"/>
      <c r="D16" s="44">
        <f>SUM(D7:D15)</f>
        <v>9335620.1488482654</v>
      </c>
      <c r="E16" s="45"/>
      <c r="F16" s="45"/>
      <c r="G16" s="45"/>
      <c r="H16" s="44">
        <f>SUM(H7:H15)</f>
        <v>2178773.5499999998</v>
      </c>
      <c r="I16" s="44">
        <f t="shared" ref="I16:J16" si="10">SUM(I7:I15)</f>
        <v>169054.99999999997</v>
      </c>
      <c r="J16" s="44">
        <f t="shared" si="10"/>
        <v>169054.99999999997</v>
      </c>
      <c r="K16" s="44">
        <f>SUM(H16:J16)</f>
        <v>2516883.5499999998</v>
      </c>
      <c r="L16" s="44">
        <f>SUM(L7:L15)</f>
        <v>2320296.25</v>
      </c>
      <c r="M16" s="44">
        <f t="shared" ref="M16:N16" si="11">SUM(M7:M15)</f>
        <v>169054.99999999997</v>
      </c>
      <c r="N16" s="44">
        <f t="shared" si="11"/>
        <v>169054.99999999997</v>
      </c>
      <c r="O16" s="44">
        <f>SUM(L16:N16)</f>
        <v>2658406.25</v>
      </c>
      <c r="P16" s="44">
        <f>SUM(P7:P15)</f>
        <v>1034601.6000000001</v>
      </c>
      <c r="Q16" s="44">
        <f t="shared" ref="Q16:R16" si="12">SUM(Q7:Q15)</f>
        <v>169054.99999999997</v>
      </c>
      <c r="R16" s="44">
        <f t="shared" si="12"/>
        <v>169054.99999999997</v>
      </c>
      <c r="S16" s="44">
        <f>SUM(P16:R16)</f>
        <v>1372711.6</v>
      </c>
      <c r="T16" s="44">
        <f>SUM(T7:T15)</f>
        <v>1034601.6000000001</v>
      </c>
      <c r="U16" s="44">
        <f t="shared" ref="U16:V16" si="13">SUM(U7:U15)</f>
        <v>169054.99999999997</v>
      </c>
      <c r="V16" s="44">
        <f t="shared" si="13"/>
        <v>169054.99999999997</v>
      </c>
      <c r="W16" s="44">
        <f>SUM(T16:V16)</f>
        <v>1372711.6</v>
      </c>
      <c r="X16" s="46"/>
      <c r="Y16" s="47">
        <f>SUM(K16,O16,S16,W16)</f>
        <v>7920713</v>
      </c>
      <c r="AA16" s="47">
        <f t="shared" si="8"/>
        <v>-1414907.1488482654</v>
      </c>
      <c r="AB16" s="56">
        <f t="shared" si="9"/>
        <v>-0.15156005988770038</v>
      </c>
    </row>
    <row r="17" spans="1:28" ht="13">
      <c r="B17" s="34"/>
      <c r="C17" s="36"/>
      <c r="D17" s="34"/>
      <c r="E17" s="34"/>
      <c r="F17" s="34"/>
      <c r="G17" s="34"/>
      <c r="H17" s="34"/>
      <c r="I17" s="34"/>
      <c r="J17" s="34"/>
      <c r="K17" s="34"/>
      <c r="L17" s="34"/>
      <c r="M17" s="34"/>
      <c r="N17" s="34"/>
      <c r="O17" s="34"/>
      <c r="P17" s="34"/>
      <c r="Q17" s="34"/>
      <c r="R17" s="34"/>
      <c r="S17" s="34"/>
      <c r="T17" s="34"/>
      <c r="U17" s="34"/>
      <c r="V17" s="34"/>
      <c r="W17" s="34"/>
      <c r="X17" s="36"/>
    </row>
    <row r="18" spans="1:28" ht="13">
      <c r="A18" s="34" t="s">
        <v>97</v>
      </c>
      <c r="C18" s="36"/>
      <c r="X18" s="36"/>
    </row>
    <row r="19" spans="1:28" ht="13">
      <c r="A19" s="48" t="s">
        <v>8</v>
      </c>
      <c r="C19" s="36"/>
      <c r="F19" s="35" t="s">
        <v>76</v>
      </c>
      <c r="X19" s="36"/>
    </row>
    <row r="20" spans="1:28" ht="13">
      <c r="B20" s="35" t="s">
        <v>9</v>
      </c>
      <c r="C20" s="36"/>
      <c r="D20" s="61">
        <v>347185.71111111122</v>
      </c>
      <c r="E20" s="49"/>
      <c r="F20" s="61">
        <v>3</v>
      </c>
      <c r="G20" s="49"/>
      <c r="H20" s="61">
        <v>19121.939999999991</v>
      </c>
      <c r="I20" s="61">
        <v>22950</v>
      </c>
      <c r="J20" s="61">
        <v>22950</v>
      </c>
      <c r="K20" s="50">
        <f t="shared" ref="K20:K26" si="14">SUM(H20:J20)</f>
        <v>65021.939999999988</v>
      </c>
      <c r="L20" s="61">
        <v>22950</v>
      </c>
      <c r="M20" s="61">
        <v>22950</v>
      </c>
      <c r="N20" s="61">
        <v>22950</v>
      </c>
      <c r="O20" s="50">
        <f t="shared" ref="O20:O26" si="15">SUM(L20:N20)</f>
        <v>68850</v>
      </c>
      <c r="P20" s="61">
        <v>22950</v>
      </c>
      <c r="Q20" s="61">
        <v>22950</v>
      </c>
      <c r="R20" s="61">
        <v>22950</v>
      </c>
      <c r="S20" s="50">
        <f t="shared" ref="S20:S26" si="16">SUM(P20:R20)</f>
        <v>68850</v>
      </c>
      <c r="T20" s="61">
        <v>22950</v>
      </c>
      <c r="U20" s="61">
        <v>22950</v>
      </c>
      <c r="V20" s="61">
        <v>26778.059999999998</v>
      </c>
      <c r="W20" s="50">
        <f t="shared" ref="W20:W27" si="17">SUM(T20:V20)</f>
        <v>72678.06</v>
      </c>
      <c r="X20" s="36"/>
      <c r="Y20" s="35">
        <f t="shared" ref="Y20:Y27" si="18">SUM(K20,O20,S20,W20)</f>
        <v>275400</v>
      </c>
      <c r="AA20" s="35">
        <f t="shared" si="8"/>
        <v>-71785.711111111217</v>
      </c>
      <c r="AB20" s="56">
        <f t="shared" si="9"/>
        <v>-0.20676458971013745</v>
      </c>
    </row>
    <row r="21" spans="1:28" ht="13">
      <c r="B21" s="35" t="s">
        <v>10</v>
      </c>
      <c r="C21" s="36"/>
      <c r="D21" s="61">
        <v>1828366.1477777774</v>
      </c>
      <c r="E21" s="49"/>
      <c r="F21" s="61">
        <v>20</v>
      </c>
      <c r="G21" s="49"/>
      <c r="H21" s="61">
        <v>102480.74889374996</v>
      </c>
      <c r="I21" s="61">
        <v>122996.578125</v>
      </c>
      <c r="J21" s="61">
        <v>122996.578125</v>
      </c>
      <c r="K21" s="50">
        <f t="shared" si="14"/>
        <v>348473.90514374996</v>
      </c>
      <c r="L21" s="61">
        <v>122996.578125</v>
      </c>
      <c r="M21" s="61">
        <v>122996.578125</v>
      </c>
      <c r="N21" s="61">
        <v>122996.578125</v>
      </c>
      <c r="O21" s="50">
        <f t="shared" si="15"/>
        <v>368989.734375</v>
      </c>
      <c r="P21" s="61">
        <v>122996.578125</v>
      </c>
      <c r="Q21" s="61">
        <v>122996.578125</v>
      </c>
      <c r="R21" s="61">
        <v>122996.578125</v>
      </c>
      <c r="S21" s="50">
        <f t="shared" si="16"/>
        <v>368989.734375</v>
      </c>
      <c r="T21" s="61">
        <v>122996.578125</v>
      </c>
      <c r="U21" s="61">
        <v>122996.578125</v>
      </c>
      <c r="V21" s="61">
        <v>143512.40735624998</v>
      </c>
      <c r="W21" s="50">
        <f t="shared" si="17"/>
        <v>389505.56360624998</v>
      </c>
      <c r="X21" s="36"/>
      <c r="Y21" s="35">
        <f t="shared" si="18"/>
        <v>1475958.9375</v>
      </c>
      <c r="AA21" s="35">
        <f t="shared" si="8"/>
        <v>-352407.2102777774</v>
      </c>
      <c r="AB21" s="56">
        <f t="shared" si="9"/>
        <v>-0.19274433116479334</v>
      </c>
    </row>
    <row r="22" spans="1:28" ht="13">
      <c r="B22" s="35" t="s">
        <v>11</v>
      </c>
      <c r="C22" s="36"/>
      <c r="D22" s="61">
        <v>0</v>
      </c>
      <c r="E22" s="49"/>
      <c r="F22" s="61">
        <v>0</v>
      </c>
      <c r="G22" s="49"/>
      <c r="H22" s="61">
        <v>0</v>
      </c>
      <c r="I22" s="61">
        <v>0</v>
      </c>
      <c r="J22" s="61">
        <v>0</v>
      </c>
      <c r="K22" s="50">
        <f t="shared" si="14"/>
        <v>0</v>
      </c>
      <c r="L22" s="61">
        <v>0</v>
      </c>
      <c r="M22" s="61">
        <v>0</v>
      </c>
      <c r="N22" s="61">
        <v>0</v>
      </c>
      <c r="O22" s="50">
        <f t="shared" si="15"/>
        <v>0</v>
      </c>
      <c r="P22" s="61">
        <v>0</v>
      </c>
      <c r="Q22" s="61">
        <v>0</v>
      </c>
      <c r="R22" s="61">
        <v>0</v>
      </c>
      <c r="S22" s="50">
        <f t="shared" si="16"/>
        <v>0</v>
      </c>
      <c r="T22" s="61">
        <v>0</v>
      </c>
      <c r="U22" s="61">
        <v>0</v>
      </c>
      <c r="V22" s="61">
        <v>0</v>
      </c>
      <c r="W22" s="50">
        <f t="shared" si="17"/>
        <v>0</v>
      </c>
      <c r="X22" s="36"/>
      <c r="Y22" s="35">
        <f t="shared" si="18"/>
        <v>0</v>
      </c>
      <c r="AA22" s="35">
        <f t="shared" si="8"/>
        <v>0</v>
      </c>
      <c r="AB22" s="56" t="str">
        <f t="shared" si="9"/>
        <v/>
      </c>
    </row>
    <row r="23" spans="1:28" ht="13">
      <c r="B23" s="35" t="s">
        <v>12</v>
      </c>
      <c r="C23" s="36"/>
      <c r="D23" s="61">
        <v>544034.13250000007</v>
      </c>
      <c r="E23" s="49"/>
      <c r="F23" s="61">
        <v>10</v>
      </c>
      <c r="G23" s="49"/>
      <c r="H23" s="61">
        <v>41282.996528124982</v>
      </c>
      <c r="I23" s="61">
        <v>49547.5234375</v>
      </c>
      <c r="J23" s="61">
        <v>49547.5234375</v>
      </c>
      <c r="K23" s="50">
        <f t="shared" si="14"/>
        <v>140378.04340312499</v>
      </c>
      <c r="L23" s="61">
        <v>49547.5234375</v>
      </c>
      <c r="M23" s="61">
        <v>49547.5234375</v>
      </c>
      <c r="N23" s="61">
        <v>49547.5234375</v>
      </c>
      <c r="O23" s="50">
        <f t="shared" si="15"/>
        <v>148642.5703125</v>
      </c>
      <c r="P23" s="61">
        <v>49547.5234375</v>
      </c>
      <c r="Q23" s="61">
        <v>49547.5234375</v>
      </c>
      <c r="R23" s="61">
        <v>49547.5234375</v>
      </c>
      <c r="S23" s="50">
        <f t="shared" si="16"/>
        <v>148642.5703125</v>
      </c>
      <c r="T23" s="61">
        <v>49547.5234375</v>
      </c>
      <c r="U23" s="61">
        <v>49547.5234375</v>
      </c>
      <c r="V23" s="61">
        <v>57812.050346874996</v>
      </c>
      <c r="W23" s="50">
        <f t="shared" si="17"/>
        <v>156907.09722187498</v>
      </c>
      <c r="X23" s="36"/>
      <c r="Y23" s="35">
        <f t="shared" si="18"/>
        <v>594570.28125</v>
      </c>
      <c r="AA23" s="35">
        <f t="shared" si="8"/>
        <v>50536.148749999935</v>
      </c>
      <c r="AB23" s="56">
        <f t="shared" si="9"/>
        <v>9.2891503916806048E-2</v>
      </c>
    </row>
    <row r="24" spans="1:28" ht="13">
      <c r="B24" s="35" t="s">
        <v>13</v>
      </c>
      <c r="C24" s="36"/>
      <c r="D24" s="61">
        <v>764258.61611111113</v>
      </c>
      <c r="E24" s="49"/>
      <c r="F24" s="61">
        <v>11</v>
      </c>
      <c r="G24" s="49"/>
      <c r="H24" s="61">
        <v>64695.758133333307</v>
      </c>
      <c r="I24" s="61">
        <v>77647.333333333328</v>
      </c>
      <c r="J24" s="61">
        <v>77647.333333333328</v>
      </c>
      <c r="K24" s="50">
        <f t="shared" si="14"/>
        <v>219990.42479999998</v>
      </c>
      <c r="L24" s="61">
        <v>77647.333333333328</v>
      </c>
      <c r="M24" s="61">
        <v>77647.333333333328</v>
      </c>
      <c r="N24" s="61">
        <v>77647.333333333328</v>
      </c>
      <c r="O24" s="50">
        <f t="shared" si="15"/>
        <v>232942</v>
      </c>
      <c r="P24" s="61">
        <v>77647.333333333328</v>
      </c>
      <c r="Q24" s="61">
        <v>77647.333333333328</v>
      </c>
      <c r="R24" s="61">
        <v>77647.333333333328</v>
      </c>
      <c r="S24" s="50">
        <f t="shared" si="16"/>
        <v>232942</v>
      </c>
      <c r="T24" s="61">
        <v>77647.333333333328</v>
      </c>
      <c r="U24" s="61">
        <v>77647.333333333328</v>
      </c>
      <c r="V24" s="61">
        <v>90598.908533333335</v>
      </c>
      <c r="W24" s="50">
        <f t="shared" si="17"/>
        <v>245893.57519999999</v>
      </c>
      <c r="X24" s="36"/>
      <c r="Y24" s="35">
        <f t="shared" si="18"/>
        <v>931767.99999999988</v>
      </c>
      <c r="AA24" s="35">
        <f t="shared" si="8"/>
        <v>167509.38388888875</v>
      </c>
      <c r="AB24" s="56">
        <f t="shared" si="9"/>
        <v>0.21917892760077898</v>
      </c>
    </row>
    <row r="25" spans="1:28" ht="13">
      <c r="B25" s="35" t="s">
        <v>105</v>
      </c>
      <c r="C25" s="36"/>
      <c r="D25" s="61">
        <v>766451.65563888871</v>
      </c>
      <c r="E25" s="49"/>
      <c r="F25" s="61">
        <v>20</v>
      </c>
      <c r="G25" s="49"/>
      <c r="H25" s="61">
        <v>62157.136599999969</v>
      </c>
      <c r="I25" s="61">
        <v>74600.5</v>
      </c>
      <c r="J25" s="61">
        <v>74600.5</v>
      </c>
      <c r="K25" s="50">
        <f t="shared" si="14"/>
        <v>211358.13659999997</v>
      </c>
      <c r="L25" s="61">
        <v>74600.5</v>
      </c>
      <c r="M25" s="61">
        <v>74600.5</v>
      </c>
      <c r="N25" s="61">
        <v>74600.5</v>
      </c>
      <c r="O25" s="50">
        <f t="shared" si="15"/>
        <v>223801.5</v>
      </c>
      <c r="P25" s="61">
        <v>74600.5</v>
      </c>
      <c r="Q25" s="61">
        <v>74600.5</v>
      </c>
      <c r="R25" s="61">
        <v>74600.5</v>
      </c>
      <c r="S25" s="50">
        <f t="shared" si="16"/>
        <v>223801.5</v>
      </c>
      <c r="T25" s="61">
        <v>74600.5</v>
      </c>
      <c r="U25" s="61">
        <v>74600.5</v>
      </c>
      <c r="V25" s="61">
        <v>87043.863399999987</v>
      </c>
      <c r="W25" s="50">
        <f t="shared" si="17"/>
        <v>236244.86339999997</v>
      </c>
      <c r="X25" s="36"/>
      <c r="Y25" s="35">
        <f t="shared" si="18"/>
        <v>895206</v>
      </c>
      <c r="AA25" s="35">
        <f t="shared" si="8"/>
        <v>128754.34436111129</v>
      </c>
      <c r="AB25" s="56">
        <f t="shared" si="9"/>
        <v>0.16798756113819852</v>
      </c>
    </row>
    <row r="26" spans="1:28" ht="13">
      <c r="B26" s="35" t="s">
        <v>106</v>
      </c>
      <c r="C26" s="36"/>
      <c r="D26" s="61">
        <v>941260.12849875854</v>
      </c>
      <c r="E26" s="49"/>
      <c r="F26" s="61"/>
      <c r="G26" s="49"/>
      <c r="H26" s="61">
        <v>73100.1745174479</v>
      </c>
      <c r="I26" s="61">
        <v>77897.051920572922</v>
      </c>
      <c r="J26" s="61">
        <v>77897.051920572922</v>
      </c>
      <c r="K26" s="50">
        <f t="shared" si="14"/>
        <v>228894.27835859376</v>
      </c>
      <c r="L26" s="61">
        <v>77897.051920572922</v>
      </c>
      <c r="M26" s="61">
        <v>77897.051920572922</v>
      </c>
      <c r="N26" s="61">
        <v>77897.051920572922</v>
      </c>
      <c r="O26" s="50">
        <f t="shared" si="15"/>
        <v>233691.15576171875</v>
      </c>
      <c r="P26" s="61">
        <v>77897.051920572922</v>
      </c>
      <c r="Q26" s="61">
        <v>77897.051920572922</v>
      </c>
      <c r="R26" s="61">
        <v>77897.051920572922</v>
      </c>
      <c r="S26" s="50">
        <f t="shared" si="16"/>
        <v>233691.15576171875</v>
      </c>
      <c r="T26" s="61">
        <v>77897.051920572922</v>
      </c>
      <c r="U26" s="61">
        <v>77897.051920572922</v>
      </c>
      <c r="V26" s="61">
        <v>82693.929323697928</v>
      </c>
      <c r="W26" s="50">
        <f t="shared" si="17"/>
        <v>238488.03316484377</v>
      </c>
      <c r="X26" s="36"/>
      <c r="Y26" s="42">
        <f t="shared" si="18"/>
        <v>934764.62304687512</v>
      </c>
      <c r="AA26" s="42">
        <f t="shared" si="8"/>
        <v>-6495.5054518834222</v>
      </c>
      <c r="AB26" s="59">
        <f t="shared" si="9"/>
        <v>-6.9008611490250643E-3</v>
      </c>
    </row>
    <row r="27" spans="1:28" ht="13">
      <c r="B27" s="43" t="s">
        <v>14</v>
      </c>
      <c r="C27" s="36"/>
      <c r="D27" s="44">
        <f>SUM(D20:D26)</f>
        <v>5191556.3916376466</v>
      </c>
      <c r="E27" s="45"/>
      <c r="F27" s="44">
        <f>SUM(F20:F26)</f>
        <v>64</v>
      </c>
      <c r="G27" s="45"/>
      <c r="H27" s="44">
        <f>SUM(H20:H26)</f>
        <v>362838.75467265607</v>
      </c>
      <c r="I27" s="44">
        <f>SUM(I20:I26)</f>
        <v>425638.98681640625</v>
      </c>
      <c r="J27" s="44">
        <f>SUM(J20:J26)</f>
        <v>425638.98681640625</v>
      </c>
      <c r="K27" s="44">
        <f>SUM(H27:J27)</f>
        <v>1214116.7283054686</v>
      </c>
      <c r="L27" s="44">
        <f>SUM(L20:L26)</f>
        <v>425638.98681640625</v>
      </c>
      <c r="M27" s="44">
        <f>SUM(M20:M26)</f>
        <v>425638.98681640625</v>
      </c>
      <c r="N27" s="44">
        <f>SUM(N20:N26)</f>
        <v>425638.98681640625</v>
      </c>
      <c r="O27" s="44">
        <f>SUM(L27:N27)</f>
        <v>1276916.9604492188</v>
      </c>
      <c r="P27" s="44">
        <f>SUM(P20:P26)</f>
        <v>425638.98681640625</v>
      </c>
      <c r="Q27" s="44">
        <f>SUM(Q20:Q26)</f>
        <v>425638.98681640625</v>
      </c>
      <c r="R27" s="44">
        <f>SUM(R20:R26)</f>
        <v>425638.98681640625</v>
      </c>
      <c r="S27" s="44">
        <f>SUM(P27:R27)</f>
        <v>1276916.9604492188</v>
      </c>
      <c r="T27" s="44">
        <f>SUM(T20:T26)</f>
        <v>425638.98681640625</v>
      </c>
      <c r="U27" s="44">
        <f>SUM(U20:U26)</f>
        <v>425638.98681640625</v>
      </c>
      <c r="V27" s="44">
        <f>SUM(V20:V26)</f>
        <v>488439.2189601562</v>
      </c>
      <c r="W27" s="44">
        <f t="shared" si="17"/>
        <v>1339717.1925929687</v>
      </c>
      <c r="X27" s="46"/>
      <c r="Y27" s="47">
        <f t="shared" si="18"/>
        <v>5107667.841796875</v>
      </c>
      <c r="AA27" s="47">
        <f t="shared" si="8"/>
        <v>-83888.549840771593</v>
      </c>
      <c r="AB27" s="56">
        <f t="shared" si="9"/>
        <v>-1.61586513778211E-2</v>
      </c>
    </row>
    <row r="28" spans="1:28" ht="13">
      <c r="C28" s="36"/>
      <c r="D28" s="34"/>
      <c r="E28" s="34"/>
      <c r="F28" s="34"/>
      <c r="G28" s="34"/>
      <c r="H28" s="34"/>
      <c r="I28" s="34"/>
      <c r="J28" s="34"/>
      <c r="K28" s="34"/>
      <c r="L28" s="34"/>
      <c r="M28" s="34"/>
      <c r="N28" s="34"/>
      <c r="O28" s="34"/>
      <c r="P28" s="34"/>
      <c r="Q28" s="34"/>
      <c r="R28" s="34"/>
      <c r="S28" s="34"/>
      <c r="T28" s="34"/>
      <c r="U28" s="34"/>
      <c r="V28" s="34"/>
      <c r="W28" s="34"/>
      <c r="X28" s="36"/>
    </row>
    <row r="29" spans="1:28" ht="13">
      <c r="A29" s="48" t="s">
        <v>15</v>
      </c>
      <c r="C29" s="36"/>
      <c r="X29" s="36"/>
    </row>
    <row r="30" spans="1:28" ht="13">
      <c r="B30" s="35" t="s">
        <v>107</v>
      </c>
      <c r="C30" s="36"/>
      <c r="D30" s="61">
        <v>87500.000039062506</v>
      </c>
      <c r="E30" s="49"/>
      <c r="F30" s="49"/>
      <c r="G30" s="49"/>
      <c r="H30" s="61">
        <v>3898.75</v>
      </c>
      <c r="I30" s="61">
        <v>3898.75</v>
      </c>
      <c r="J30" s="61">
        <v>3898.75</v>
      </c>
      <c r="K30" s="50">
        <f t="shared" ref="K30:K34" si="19">SUM(H30:J30)</f>
        <v>11696.25</v>
      </c>
      <c r="L30" s="61">
        <v>3898.75</v>
      </c>
      <c r="M30" s="61">
        <v>3898.75</v>
      </c>
      <c r="N30" s="61">
        <v>3898.75</v>
      </c>
      <c r="O30" s="50">
        <f t="shared" ref="O30:O34" si="20">SUM(L30:N30)</f>
        <v>11696.25</v>
      </c>
      <c r="P30" s="61">
        <v>3898.75</v>
      </c>
      <c r="Q30" s="61">
        <v>3898.75</v>
      </c>
      <c r="R30" s="61">
        <v>3898.75</v>
      </c>
      <c r="S30" s="50">
        <f t="shared" ref="S30:S34" si="21">SUM(P30:R30)</f>
        <v>11696.25</v>
      </c>
      <c r="T30" s="61">
        <v>3898.75</v>
      </c>
      <c r="U30" s="61">
        <v>3898.75</v>
      </c>
      <c r="V30" s="61">
        <v>3898.75</v>
      </c>
      <c r="W30" s="50">
        <f t="shared" ref="W30:W35" si="22">SUM(T30:V30)</f>
        <v>11696.25</v>
      </c>
      <c r="X30" s="36"/>
      <c r="Y30" s="35">
        <f t="shared" ref="Y30:Y35" si="23">SUM(K30,O30,S30,W30)</f>
        <v>46785</v>
      </c>
      <c r="AA30" s="35">
        <f t="shared" si="8"/>
        <v>-40715.000039062506</v>
      </c>
      <c r="AB30" s="56">
        <f t="shared" si="9"/>
        <v>-0.46531428595298474</v>
      </c>
    </row>
    <row r="31" spans="1:28" ht="13">
      <c r="B31" s="35" t="s">
        <v>108</v>
      </c>
      <c r="C31" s="36"/>
      <c r="D31" s="61">
        <v>7749.9999462890628</v>
      </c>
      <c r="E31" s="49"/>
      <c r="F31" s="49"/>
      <c r="G31" s="49"/>
      <c r="H31" s="61">
        <v>3739.583333333333</v>
      </c>
      <c r="I31" s="61">
        <v>3739.583333333333</v>
      </c>
      <c r="J31" s="61">
        <v>3739.583333333333</v>
      </c>
      <c r="K31" s="50">
        <f t="shared" si="19"/>
        <v>11218.75</v>
      </c>
      <c r="L31" s="61">
        <v>3739.583333333333</v>
      </c>
      <c r="M31" s="61">
        <v>3739.583333333333</v>
      </c>
      <c r="N31" s="61">
        <v>3739.583333333333</v>
      </c>
      <c r="O31" s="50">
        <f t="shared" si="20"/>
        <v>11218.75</v>
      </c>
      <c r="P31" s="61">
        <v>3739.583333333333</v>
      </c>
      <c r="Q31" s="61">
        <v>3739.583333333333</v>
      </c>
      <c r="R31" s="61">
        <v>3739.583333333333</v>
      </c>
      <c r="S31" s="50">
        <f t="shared" si="21"/>
        <v>11218.75</v>
      </c>
      <c r="T31" s="61">
        <v>3739.583333333333</v>
      </c>
      <c r="U31" s="61">
        <v>3739.583333333333</v>
      </c>
      <c r="V31" s="61">
        <v>3739.583333333333</v>
      </c>
      <c r="W31" s="50">
        <f t="shared" si="22"/>
        <v>11218.75</v>
      </c>
      <c r="X31" s="36"/>
      <c r="Y31" s="35">
        <f t="shared" si="23"/>
        <v>44875</v>
      </c>
      <c r="AA31" s="35">
        <f t="shared" si="8"/>
        <v>37125.000053710937</v>
      </c>
      <c r="AB31" s="56">
        <f t="shared" si="9"/>
        <v>4.7903226207746652</v>
      </c>
    </row>
    <row r="32" spans="1:28" ht="13">
      <c r="B32" s="35" t="s">
        <v>16</v>
      </c>
      <c r="C32" s="36"/>
      <c r="D32" s="61">
        <v>409184.99877929688</v>
      </c>
      <c r="E32" s="49"/>
      <c r="F32" s="49"/>
      <c r="G32" s="49"/>
      <c r="H32" s="61">
        <v>0</v>
      </c>
      <c r="I32" s="61">
        <v>0</v>
      </c>
      <c r="J32" s="61">
        <v>39287.777777777781</v>
      </c>
      <c r="K32" s="50">
        <f t="shared" si="19"/>
        <v>39287.777777777781</v>
      </c>
      <c r="L32" s="61">
        <v>39287.777777777781</v>
      </c>
      <c r="M32" s="61">
        <v>39287.777777777781</v>
      </c>
      <c r="N32" s="61">
        <v>39287.777777777781</v>
      </c>
      <c r="O32" s="50">
        <f t="shared" si="20"/>
        <v>117863.33333333334</v>
      </c>
      <c r="P32" s="61">
        <v>39287.777777777781</v>
      </c>
      <c r="Q32" s="61">
        <v>39287.777777777781</v>
      </c>
      <c r="R32" s="61">
        <v>39287.777777777781</v>
      </c>
      <c r="S32" s="50">
        <f t="shared" si="21"/>
        <v>117863.33333333334</v>
      </c>
      <c r="T32" s="61">
        <v>39287.777777777781</v>
      </c>
      <c r="U32" s="61">
        <v>39287.777777777781</v>
      </c>
      <c r="V32" s="61">
        <v>0</v>
      </c>
      <c r="W32" s="50">
        <f t="shared" si="22"/>
        <v>78575.555555555562</v>
      </c>
      <c r="X32" s="36"/>
      <c r="Y32" s="35">
        <f t="shared" si="23"/>
        <v>353590.00000000006</v>
      </c>
      <c r="AA32" s="35">
        <f t="shared" si="8"/>
        <v>-55594.998779296817</v>
      </c>
      <c r="AB32" s="56">
        <f t="shared" si="9"/>
        <v>-0.13586763675391539</v>
      </c>
    </row>
    <row r="33" spans="1:28" ht="13">
      <c r="B33" s="35" t="s">
        <v>29</v>
      </c>
      <c r="C33" s="36"/>
      <c r="D33" s="61">
        <v>0</v>
      </c>
      <c r="E33" s="49"/>
      <c r="F33" s="49"/>
      <c r="G33" s="49"/>
      <c r="H33" s="61">
        <v>0</v>
      </c>
      <c r="I33" s="61">
        <v>0</v>
      </c>
      <c r="J33" s="61">
        <v>0</v>
      </c>
      <c r="K33" s="50">
        <f>SUM(H33:J33)</f>
        <v>0</v>
      </c>
      <c r="L33" s="61">
        <v>0</v>
      </c>
      <c r="M33" s="61">
        <v>0</v>
      </c>
      <c r="N33" s="61">
        <v>0</v>
      </c>
      <c r="O33" s="50">
        <f>SUM(L33:N33)</f>
        <v>0</v>
      </c>
      <c r="P33" s="61">
        <v>0</v>
      </c>
      <c r="Q33" s="61">
        <v>0</v>
      </c>
      <c r="R33" s="61">
        <v>0</v>
      </c>
      <c r="S33" s="50">
        <f>SUM(P33:R33)</f>
        <v>0</v>
      </c>
      <c r="T33" s="61">
        <v>0</v>
      </c>
      <c r="U33" s="61">
        <v>0</v>
      </c>
      <c r="V33" s="61">
        <v>0</v>
      </c>
      <c r="W33" s="50">
        <f>SUM(T33:V33)</f>
        <v>0</v>
      </c>
      <c r="X33" s="36"/>
      <c r="Y33" s="35">
        <f>SUM(K33,O33,S33,W33)</f>
        <v>0</v>
      </c>
      <c r="AA33" s="35">
        <f t="shared" si="8"/>
        <v>0</v>
      </c>
      <c r="AB33" s="56" t="str">
        <f t="shared" si="9"/>
        <v/>
      </c>
    </row>
    <row r="34" spans="1:28" ht="13">
      <c r="B34" s="35" t="s">
        <v>109</v>
      </c>
      <c r="C34" s="36"/>
      <c r="D34" s="61">
        <v>162369.23128173829</v>
      </c>
      <c r="E34" s="49"/>
      <c r="F34" s="49"/>
      <c r="G34" s="49"/>
      <c r="H34" s="61">
        <v>7250</v>
      </c>
      <c r="I34" s="61">
        <v>7250</v>
      </c>
      <c r="J34" s="61">
        <v>9551.7109375</v>
      </c>
      <c r="K34" s="50">
        <f t="shared" si="19"/>
        <v>24051.7109375</v>
      </c>
      <c r="L34" s="61">
        <v>9551.7109375</v>
      </c>
      <c r="M34" s="61">
        <v>8101.7109375</v>
      </c>
      <c r="N34" s="61">
        <v>8101.7109375</v>
      </c>
      <c r="O34" s="50">
        <f t="shared" si="20"/>
        <v>25755.1328125</v>
      </c>
      <c r="P34" s="61">
        <v>8101.7109375</v>
      </c>
      <c r="Q34" s="61">
        <v>8101.7109375</v>
      </c>
      <c r="R34" s="61">
        <v>9551.7109375</v>
      </c>
      <c r="S34" s="50">
        <f t="shared" si="21"/>
        <v>25755.1328125</v>
      </c>
      <c r="T34" s="61">
        <v>11001.7109375</v>
      </c>
      <c r="U34" s="61">
        <v>11001.7109375</v>
      </c>
      <c r="V34" s="61">
        <v>4350</v>
      </c>
      <c r="W34" s="50">
        <f t="shared" si="22"/>
        <v>26353.421875</v>
      </c>
      <c r="X34" s="36"/>
      <c r="Y34" s="42">
        <f t="shared" si="23"/>
        <v>101915.3984375</v>
      </c>
      <c r="AA34" s="42">
        <f t="shared" si="8"/>
        <v>-60453.832844238292</v>
      </c>
      <c r="AB34" s="59">
        <f t="shared" si="9"/>
        <v>-0.37232320660150559</v>
      </c>
    </row>
    <row r="35" spans="1:28" ht="13">
      <c r="B35" s="43" t="s">
        <v>17</v>
      </c>
      <c r="C35" s="36"/>
      <c r="D35" s="43">
        <f>SUM(D30:D34)</f>
        <v>666804.23004638671</v>
      </c>
      <c r="E35" s="34"/>
      <c r="F35" s="34"/>
      <c r="G35" s="34"/>
      <c r="H35" s="43">
        <f>SUM(H30:H34)</f>
        <v>14888.333333333332</v>
      </c>
      <c r="I35" s="43">
        <f>SUM(I30:I34)</f>
        <v>14888.333333333332</v>
      </c>
      <c r="J35" s="43">
        <f>SUM(J30:J34)</f>
        <v>56477.822048611117</v>
      </c>
      <c r="K35" s="43">
        <f>SUM(H35:J35)</f>
        <v>86254.488715277781</v>
      </c>
      <c r="L35" s="43">
        <f>SUM(L30:L34)</f>
        <v>56477.822048611117</v>
      </c>
      <c r="M35" s="43">
        <f>SUM(M30:M34)</f>
        <v>55027.822048611117</v>
      </c>
      <c r="N35" s="43">
        <f>SUM(N30:N34)</f>
        <v>55027.822048611117</v>
      </c>
      <c r="O35" s="43">
        <f>SUM(L35:N35)</f>
        <v>166533.46614583334</v>
      </c>
      <c r="P35" s="43">
        <f>SUM(P30:P34)</f>
        <v>55027.822048611117</v>
      </c>
      <c r="Q35" s="43">
        <f>SUM(Q30:Q34)</f>
        <v>55027.822048611117</v>
      </c>
      <c r="R35" s="43">
        <f>SUM(R30:R34)</f>
        <v>56477.822048611117</v>
      </c>
      <c r="S35" s="43">
        <f>SUM(P35:R35)</f>
        <v>166533.46614583334</v>
      </c>
      <c r="T35" s="43">
        <f>SUM(T30:T34)</f>
        <v>57927.822048611117</v>
      </c>
      <c r="U35" s="43">
        <f>SUM(U30:U34)</f>
        <v>57927.822048611117</v>
      </c>
      <c r="V35" s="43">
        <f>SUM(V30:V34)</f>
        <v>11988.333333333332</v>
      </c>
      <c r="W35" s="43">
        <f t="shared" si="22"/>
        <v>127843.97743055556</v>
      </c>
      <c r="X35" s="36"/>
      <c r="Y35" s="35">
        <f t="shared" si="23"/>
        <v>547165.3984375</v>
      </c>
      <c r="AA35" s="35">
        <f t="shared" si="8"/>
        <v>-119638.83160888671</v>
      </c>
      <c r="AB35" s="56">
        <f t="shared" si="9"/>
        <v>-0.17942122472822938</v>
      </c>
    </row>
    <row r="36" spans="1:28" ht="13">
      <c r="A36" s="34"/>
      <c r="B36" s="34"/>
      <c r="C36" s="36"/>
      <c r="X36" s="36"/>
    </row>
    <row r="37" spans="1:28" ht="13">
      <c r="A37" s="48" t="s">
        <v>18</v>
      </c>
      <c r="C37" s="36"/>
      <c r="D37" s="50"/>
      <c r="E37" s="49"/>
      <c r="F37" s="49"/>
      <c r="G37" s="49"/>
      <c r="H37" s="50"/>
      <c r="I37" s="50"/>
      <c r="J37" s="50"/>
      <c r="K37" s="50"/>
      <c r="L37" s="50"/>
      <c r="M37" s="50"/>
      <c r="N37" s="50"/>
      <c r="O37" s="50"/>
      <c r="P37" s="50"/>
      <c r="Q37" s="50"/>
      <c r="R37" s="50"/>
      <c r="S37" s="50"/>
      <c r="T37" s="50"/>
      <c r="U37" s="50"/>
      <c r="V37" s="50"/>
      <c r="W37" s="50"/>
      <c r="X37" s="36"/>
    </row>
    <row r="38" spans="1:28" ht="13">
      <c r="B38" s="35" t="s">
        <v>19</v>
      </c>
      <c r="C38" s="36"/>
      <c r="D38" s="61">
        <v>129147</v>
      </c>
      <c r="E38" s="49"/>
      <c r="F38" s="49"/>
      <c r="G38" s="49"/>
      <c r="H38" s="61">
        <v>25610.309895833332</v>
      </c>
      <c r="I38" s="61">
        <v>25610.309895833332</v>
      </c>
      <c r="J38" s="61">
        <v>25610.309895833332</v>
      </c>
      <c r="K38" s="50">
        <f t="shared" ref="K38:K43" si="24">SUM(H38:J38)</f>
        <v>76830.9296875</v>
      </c>
      <c r="L38" s="61">
        <v>25610.309895833332</v>
      </c>
      <c r="M38" s="61">
        <v>25610.309895833332</v>
      </c>
      <c r="N38" s="61">
        <v>25610.309895833332</v>
      </c>
      <c r="O38" s="50">
        <f t="shared" ref="O38:O43" si="25">SUM(L38:N38)</f>
        <v>76830.9296875</v>
      </c>
      <c r="P38" s="61">
        <v>25610.309895833332</v>
      </c>
      <c r="Q38" s="61">
        <v>25610.309895833332</v>
      </c>
      <c r="R38" s="61">
        <v>25610.309895833332</v>
      </c>
      <c r="S38" s="50">
        <f t="shared" ref="S38:S43" si="26">SUM(P38:R38)</f>
        <v>76830.9296875</v>
      </c>
      <c r="T38" s="61">
        <v>25610.309895833332</v>
      </c>
      <c r="U38" s="61">
        <v>25610.309895833332</v>
      </c>
      <c r="V38" s="61">
        <v>25610.309895833332</v>
      </c>
      <c r="W38" s="50">
        <f t="shared" ref="W38:W44" si="27">SUM(T38:V38)</f>
        <v>76830.9296875</v>
      </c>
      <c r="X38" s="36"/>
      <c r="Y38" s="35">
        <f t="shared" ref="Y38:Y44" si="28">SUM(K38,O38,S38,W38)</f>
        <v>307323.71875</v>
      </c>
      <c r="AA38" s="35">
        <f t="shared" si="8"/>
        <v>178176.71875</v>
      </c>
      <c r="AB38" s="56">
        <f t="shared" si="9"/>
        <v>1.3796427230210535</v>
      </c>
    </row>
    <row r="39" spans="1:28" ht="13">
      <c r="B39" s="35" t="s">
        <v>94</v>
      </c>
      <c r="C39" s="36"/>
      <c r="D39" s="61">
        <v>114110.47</v>
      </c>
      <c r="E39" s="49"/>
      <c r="F39" s="49"/>
      <c r="G39" s="49"/>
      <c r="H39" s="61">
        <v>15845.875040690104</v>
      </c>
      <c r="I39" s="61">
        <v>15845.875040690104</v>
      </c>
      <c r="J39" s="61">
        <v>15845.875040690104</v>
      </c>
      <c r="K39" s="50">
        <f t="shared" si="24"/>
        <v>47537.625122070312</v>
      </c>
      <c r="L39" s="61">
        <v>15845.875040690104</v>
      </c>
      <c r="M39" s="61">
        <v>15845.875040690104</v>
      </c>
      <c r="N39" s="61">
        <v>15845.875040690104</v>
      </c>
      <c r="O39" s="50">
        <f t="shared" si="25"/>
        <v>47537.625122070312</v>
      </c>
      <c r="P39" s="61">
        <v>15845.875040690104</v>
      </c>
      <c r="Q39" s="61">
        <v>15845.875040690104</v>
      </c>
      <c r="R39" s="61">
        <v>15845.875040690104</v>
      </c>
      <c r="S39" s="50">
        <f t="shared" si="26"/>
        <v>47537.625122070312</v>
      </c>
      <c r="T39" s="61">
        <v>15845.875040690104</v>
      </c>
      <c r="U39" s="61">
        <v>15845.875040690104</v>
      </c>
      <c r="V39" s="61">
        <v>15845.875040690104</v>
      </c>
      <c r="W39" s="50">
        <f t="shared" si="27"/>
        <v>47537.625122070312</v>
      </c>
      <c r="X39" s="36"/>
      <c r="Y39" s="35">
        <f t="shared" si="28"/>
        <v>190150.50048828125</v>
      </c>
      <c r="AA39" s="35">
        <f t="shared" si="8"/>
        <v>76040.030488281249</v>
      </c>
      <c r="AB39" s="56">
        <f t="shared" si="9"/>
        <v>0.66637207338013105</v>
      </c>
    </row>
    <row r="40" spans="1:28" ht="13">
      <c r="B40" s="35" t="s">
        <v>95</v>
      </c>
      <c r="C40" s="36"/>
      <c r="D40" s="61">
        <v>168165.92</v>
      </c>
      <c r="E40" s="49"/>
      <c r="F40" s="49"/>
      <c r="G40" s="49"/>
      <c r="H40" s="61">
        <v>12553.570305937021</v>
      </c>
      <c r="I40" s="61">
        <v>12895.281804448339</v>
      </c>
      <c r="J40" s="61">
        <v>12852.357527550343</v>
      </c>
      <c r="K40" s="50">
        <f t="shared" si="24"/>
        <v>38301.209637935703</v>
      </c>
      <c r="L40" s="61">
        <v>12426.97866493838</v>
      </c>
      <c r="M40" s="61">
        <v>12764.907114998528</v>
      </c>
      <c r="N40" s="61">
        <v>12341.479677732628</v>
      </c>
      <c r="O40" s="50">
        <f t="shared" si="25"/>
        <v>37533.365457669533</v>
      </c>
      <c r="P40" s="61">
        <v>12676.853071698783</v>
      </c>
      <c r="Q40" s="61">
        <v>12633.167495848456</v>
      </c>
      <c r="R40" s="61">
        <v>11459.354993774044</v>
      </c>
      <c r="S40" s="50">
        <f t="shared" si="26"/>
        <v>36769.375561321285</v>
      </c>
      <c r="T40" s="61">
        <v>12566.082050989844</v>
      </c>
      <c r="U40" s="61">
        <v>12112.224076948522</v>
      </c>
      <c r="V40" s="61">
        <v>12453.124898484719</v>
      </c>
      <c r="W40" s="50">
        <f t="shared" si="27"/>
        <v>37131.431026423088</v>
      </c>
      <c r="X40" s="36"/>
      <c r="Y40" s="35">
        <f t="shared" si="28"/>
        <v>149735.38168334961</v>
      </c>
      <c r="AA40" s="35">
        <f t="shared" si="8"/>
        <v>-18430.538316650403</v>
      </c>
      <c r="AB40" s="56">
        <f t="shared" si="9"/>
        <v>-0.10959734479287124</v>
      </c>
    </row>
    <row r="41" spans="1:28" ht="13">
      <c r="B41" s="35" t="s">
        <v>20</v>
      </c>
      <c r="C41" s="36"/>
      <c r="D41" s="61">
        <v>62364.001601562508</v>
      </c>
      <c r="E41" s="49"/>
      <c r="F41" s="49"/>
      <c r="G41" s="49"/>
      <c r="H41" s="61">
        <v>2666.6666666666665</v>
      </c>
      <c r="I41" s="61">
        <v>2666.6666666666665</v>
      </c>
      <c r="J41" s="61">
        <v>2666.6666666666665</v>
      </c>
      <c r="K41" s="50">
        <f t="shared" si="24"/>
        <v>8000</v>
      </c>
      <c r="L41" s="61">
        <v>2666.6666666666665</v>
      </c>
      <c r="M41" s="61">
        <v>2666.6666666666665</v>
      </c>
      <c r="N41" s="61">
        <v>2666.6666666666665</v>
      </c>
      <c r="O41" s="50">
        <f t="shared" si="25"/>
        <v>8000</v>
      </c>
      <c r="P41" s="61">
        <v>2666.6666666666665</v>
      </c>
      <c r="Q41" s="61">
        <v>2666.6666666666665</v>
      </c>
      <c r="R41" s="61">
        <v>2666.6666666666665</v>
      </c>
      <c r="S41" s="50">
        <f t="shared" si="26"/>
        <v>8000</v>
      </c>
      <c r="T41" s="61">
        <v>2666.6666666666665</v>
      </c>
      <c r="U41" s="61">
        <v>2666.6666666666665</v>
      </c>
      <c r="V41" s="61">
        <v>2666.6666666666665</v>
      </c>
      <c r="W41" s="50">
        <f t="shared" si="27"/>
        <v>8000</v>
      </c>
      <c r="X41" s="36"/>
      <c r="Y41" s="35">
        <f t="shared" si="28"/>
        <v>32000</v>
      </c>
      <c r="AA41" s="35">
        <f t="shared" si="8"/>
        <v>-30364.001601562508</v>
      </c>
      <c r="AB41" s="56">
        <f t="shared" si="9"/>
        <v>-0.48688347158277523</v>
      </c>
    </row>
    <row r="42" spans="1:28" ht="13">
      <c r="B42" s="35" t="s">
        <v>21</v>
      </c>
      <c r="C42" s="36"/>
      <c r="D42" s="61">
        <v>263912.00140625</v>
      </c>
      <c r="E42" s="49"/>
      <c r="F42" s="49"/>
      <c r="G42" s="49"/>
      <c r="H42" s="61">
        <v>26767.375</v>
      </c>
      <c r="I42" s="61">
        <v>26767.375</v>
      </c>
      <c r="J42" s="61">
        <v>26767.375</v>
      </c>
      <c r="K42" s="50">
        <f t="shared" si="24"/>
        <v>80302.125</v>
      </c>
      <c r="L42" s="61">
        <v>26767.375</v>
      </c>
      <c r="M42" s="61">
        <v>26767.375</v>
      </c>
      <c r="N42" s="61">
        <v>26767.375</v>
      </c>
      <c r="O42" s="50">
        <f t="shared" si="25"/>
        <v>80302.125</v>
      </c>
      <c r="P42" s="61">
        <v>26767.375</v>
      </c>
      <c r="Q42" s="61">
        <v>26767.375</v>
      </c>
      <c r="R42" s="61">
        <v>26767.375</v>
      </c>
      <c r="S42" s="50">
        <f t="shared" si="26"/>
        <v>80302.125</v>
      </c>
      <c r="T42" s="61">
        <v>26767.375</v>
      </c>
      <c r="U42" s="61">
        <v>26767.375</v>
      </c>
      <c r="V42" s="61">
        <v>26767.375</v>
      </c>
      <c r="W42" s="50">
        <f t="shared" si="27"/>
        <v>80302.125</v>
      </c>
      <c r="X42" s="36"/>
      <c r="Y42" s="35">
        <f t="shared" si="28"/>
        <v>321208.5</v>
      </c>
      <c r="AA42" s="35">
        <f t="shared" si="8"/>
        <v>57296.498593750002</v>
      </c>
      <c r="AB42" s="56">
        <f t="shared" si="9"/>
        <v>0.21710455867276485</v>
      </c>
    </row>
    <row r="43" spans="1:28" ht="13">
      <c r="B43" s="35" t="s">
        <v>96</v>
      </c>
      <c r="C43" s="36"/>
      <c r="D43" s="61">
        <v>143094.00062499999</v>
      </c>
      <c r="E43" s="49"/>
      <c r="F43" s="49"/>
      <c r="G43" s="49"/>
      <c r="H43" s="61">
        <v>11666.666666666666</v>
      </c>
      <c r="I43" s="61">
        <v>11666.666666666666</v>
      </c>
      <c r="J43" s="61">
        <v>11666.666666666666</v>
      </c>
      <c r="K43" s="50">
        <f t="shared" si="24"/>
        <v>35000</v>
      </c>
      <c r="L43" s="61">
        <v>11666.666666666666</v>
      </c>
      <c r="M43" s="61">
        <v>11666.666666666666</v>
      </c>
      <c r="N43" s="61">
        <v>11666.666666666666</v>
      </c>
      <c r="O43" s="50">
        <f t="shared" si="25"/>
        <v>35000</v>
      </c>
      <c r="P43" s="61">
        <v>11666.666666666666</v>
      </c>
      <c r="Q43" s="61">
        <v>11666.666666666666</v>
      </c>
      <c r="R43" s="61">
        <v>11666.666666666666</v>
      </c>
      <c r="S43" s="50">
        <f t="shared" si="26"/>
        <v>35000</v>
      </c>
      <c r="T43" s="61">
        <v>11666.666666666666</v>
      </c>
      <c r="U43" s="61">
        <v>11666.666666666666</v>
      </c>
      <c r="V43" s="61">
        <v>11666.666666666666</v>
      </c>
      <c r="W43" s="50">
        <f t="shared" si="27"/>
        <v>35000</v>
      </c>
      <c r="X43" s="36"/>
      <c r="Y43" s="42">
        <f t="shared" si="28"/>
        <v>140000</v>
      </c>
      <c r="AA43" s="42">
        <f t="shared" si="8"/>
        <v>-3094.000624999986</v>
      </c>
      <c r="AB43" s="59">
        <f t="shared" si="9"/>
        <v>-2.1622154747831072E-2</v>
      </c>
    </row>
    <row r="44" spans="1:28" ht="13">
      <c r="B44" s="43" t="s">
        <v>22</v>
      </c>
      <c r="C44" s="36"/>
      <c r="D44" s="43">
        <f>SUM(D38:D43)</f>
        <v>880793.39363281254</v>
      </c>
      <c r="E44" s="34"/>
      <c r="F44" s="34"/>
      <c r="G44" s="34"/>
      <c r="H44" s="43">
        <f>SUM(H38:H43)</f>
        <v>95110.463575793794</v>
      </c>
      <c r="I44" s="43">
        <f>SUM(I38:I43)</f>
        <v>95452.175074305109</v>
      </c>
      <c r="J44" s="43">
        <f>SUM(J38:J43)</f>
        <v>95409.250797407105</v>
      </c>
      <c r="K44" s="43">
        <f>SUM(H44:J44)</f>
        <v>285971.88944750599</v>
      </c>
      <c r="L44" s="43">
        <f>SUM(L38:L43)</f>
        <v>94983.871934795156</v>
      </c>
      <c r="M44" s="43">
        <f>SUM(M38:M43)</f>
        <v>95321.800384855291</v>
      </c>
      <c r="N44" s="43">
        <f>SUM(N38:N43)</f>
        <v>94898.372947589392</v>
      </c>
      <c r="O44" s="43">
        <f>SUM(L44:N44)</f>
        <v>285204.04526723985</v>
      </c>
      <c r="P44" s="43">
        <f>SUM(P38:P43)</f>
        <v>95233.746341555554</v>
      </c>
      <c r="Q44" s="43">
        <f>SUM(Q38:Q43)</f>
        <v>95190.060765705231</v>
      </c>
      <c r="R44" s="43">
        <f>SUM(R38:R43)</f>
        <v>94016.248263630827</v>
      </c>
      <c r="S44" s="43">
        <f>SUM(P44:R44)</f>
        <v>284440.05537089164</v>
      </c>
      <c r="T44" s="43">
        <f>SUM(T38:T43)</f>
        <v>95122.975320846614</v>
      </c>
      <c r="U44" s="43">
        <f>SUM(U38:U43)</f>
        <v>94669.117346805302</v>
      </c>
      <c r="V44" s="43">
        <f>SUM(V38:V43)</f>
        <v>95010.018168341499</v>
      </c>
      <c r="W44" s="43">
        <f t="shared" si="27"/>
        <v>284802.11083599343</v>
      </c>
      <c r="X44" s="36"/>
      <c r="Y44" s="35">
        <f t="shared" si="28"/>
        <v>1140418.1009216309</v>
      </c>
      <c r="AA44" s="35">
        <f t="shared" si="8"/>
        <v>259624.70728881832</v>
      </c>
      <c r="AB44" s="56">
        <f t="shared" si="9"/>
        <v>0.29476232356603183</v>
      </c>
    </row>
    <row r="45" spans="1:28" ht="13">
      <c r="B45" s="34"/>
      <c r="C45" s="36"/>
      <c r="D45" s="34"/>
      <c r="E45" s="34"/>
      <c r="F45" s="34"/>
      <c r="G45" s="34"/>
      <c r="H45" s="34"/>
      <c r="I45" s="34"/>
      <c r="J45" s="34"/>
      <c r="K45" s="34"/>
      <c r="L45" s="34"/>
      <c r="M45" s="34"/>
      <c r="N45" s="34"/>
      <c r="O45" s="34"/>
      <c r="P45" s="34"/>
      <c r="Q45" s="34"/>
      <c r="R45" s="34"/>
      <c r="S45" s="34"/>
      <c r="T45" s="34"/>
      <c r="U45" s="34"/>
      <c r="V45" s="34"/>
      <c r="W45" s="34"/>
      <c r="X45" s="36"/>
    </row>
    <row r="46" spans="1:28" ht="13">
      <c r="A46" s="48" t="s">
        <v>98</v>
      </c>
      <c r="C46" s="36"/>
      <c r="X46" s="36"/>
    </row>
    <row r="47" spans="1:28" ht="13">
      <c r="B47" s="35" t="s">
        <v>23</v>
      </c>
      <c r="C47" s="36"/>
      <c r="D47" s="61">
        <v>62928.001523437502</v>
      </c>
      <c r="E47" s="49"/>
      <c r="F47" s="49"/>
      <c r="G47" s="49"/>
      <c r="H47" s="61">
        <v>1666.6666666666665</v>
      </c>
      <c r="I47" s="61">
        <v>1666.6666666666665</v>
      </c>
      <c r="J47" s="61">
        <v>1666.6666666666665</v>
      </c>
      <c r="K47" s="50">
        <f t="shared" ref="K47:K59" si="29">SUM(H47:J47)</f>
        <v>5000</v>
      </c>
      <c r="L47" s="61">
        <v>1666.6666666666665</v>
      </c>
      <c r="M47" s="61">
        <v>1666.6666666666665</v>
      </c>
      <c r="N47" s="61">
        <v>1666.6666666666665</v>
      </c>
      <c r="O47" s="50">
        <f t="shared" ref="O47:O59" si="30">SUM(L47:N47)</f>
        <v>5000</v>
      </c>
      <c r="P47" s="61">
        <v>1666.6666666666665</v>
      </c>
      <c r="Q47" s="61">
        <v>1666.6666666666665</v>
      </c>
      <c r="R47" s="61">
        <v>1666.6666666666665</v>
      </c>
      <c r="S47" s="50">
        <f t="shared" ref="S47:S59" si="31">SUM(P47:R47)</f>
        <v>5000</v>
      </c>
      <c r="T47" s="61">
        <v>1666.6666666666665</v>
      </c>
      <c r="U47" s="61">
        <v>1666.6666666666665</v>
      </c>
      <c r="V47" s="61">
        <v>1666.6666666666665</v>
      </c>
      <c r="W47" s="50">
        <f t="shared" ref="W47:W59" si="32">SUM(T47:V47)</f>
        <v>5000</v>
      </c>
      <c r="X47" s="36"/>
      <c r="Y47" s="35">
        <f t="shared" ref="Y47:Y59" si="33">SUM(K47,O47,S47,W47)</f>
        <v>20000</v>
      </c>
      <c r="AA47" s="35">
        <f t="shared" si="8"/>
        <v>-42928.001523437502</v>
      </c>
      <c r="AB47" s="56">
        <f t="shared" si="9"/>
        <v>-0.68217646332609161</v>
      </c>
    </row>
    <row r="48" spans="1:28" ht="13">
      <c r="B48" s="35" t="s">
        <v>24</v>
      </c>
      <c r="C48" s="36"/>
      <c r="D48" s="61">
        <v>14261.62</v>
      </c>
      <c r="E48" s="49"/>
      <c r="F48" s="49"/>
      <c r="G48" s="49"/>
      <c r="H48" s="61">
        <v>750.02498372395826</v>
      </c>
      <c r="I48" s="61">
        <v>750.02498372395826</v>
      </c>
      <c r="J48" s="61">
        <v>750.02498372395826</v>
      </c>
      <c r="K48" s="50">
        <f t="shared" si="29"/>
        <v>2250.074951171875</v>
      </c>
      <c r="L48" s="61">
        <v>750.02498372395826</v>
      </c>
      <c r="M48" s="61">
        <v>750.02498372395826</v>
      </c>
      <c r="N48" s="61">
        <v>750.02498372395826</v>
      </c>
      <c r="O48" s="50">
        <f t="shared" si="30"/>
        <v>2250.074951171875</v>
      </c>
      <c r="P48" s="61">
        <v>750.02498372395826</v>
      </c>
      <c r="Q48" s="61">
        <v>750.02498372395826</v>
      </c>
      <c r="R48" s="61">
        <v>750.02498372395826</v>
      </c>
      <c r="S48" s="50">
        <f t="shared" si="31"/>
        <v>2250.074951171875</v>
      </c>
      <c r="T48" s="61">
        <v>750.02498372395826</v>
      </c>
      <c r="U48" s="61">
        <v>750.02498372395826</v>
      </c>
      <c r="V48" s="61">
        <v>750.02498372395826</v>
      </c>
      <c r="W48" s="50">
        <f t="shared" si="32"/>
        <v>2250.074951171875</v>
      </c>
      <c r="X48" s="36"/>
      <c r="Y48" s="35">
        <f t="shared" si="33"/>
        <v>9000.2998046875</v>
      </c>
      <c r="AA48" s="35">
        <f t="shared" si="8"/>
        <v>-5261.3201953125008</v>
      </c>
      <c r="AB48" s="56">
        <f t="shared" si="9"/>
        <v>-0.36891462507853251</v>
      </c>
    </row>
    <row r="49" spans="1:28" ht="13">
      <c r="B49" s="35" t="s">
        <v>25</v>
      </c>
      <c r="C49" s="36"/>
      <c r="D49" s="61">
        <v>99249.999218750003</v>
      </c>
      <c r="E49" s="49"/>
      <c r="F49" s="49"/>
      <c r="G49" s="49"/>
      <c r="H49" s="61">
        <v>6264.8417968749991</v>
      </c>
      <c r="I49" s="61">
        <v>6264.8417968749991</v>
      </c>
      <c r="J49" s="61">
        <v>6264.8417968749991</v>
      </c>
      <c r="K49" s="50">
        <f t="shared" si="29"/>
        <v>18794.525390624996</v>
      </c>
      <c r="L49" s="61">
        <v>6264.8417968749991</v>
      </c>
      <c r="M49" s="61">
        <v>6264.8417968749991</v>
      </c>
      <c r="N49" s="61">
        <v>6264.8417968749991</v>
      </c>
      <c r="O49" s="50">
        <f t="shared" si="30"/>
        <v>18794.525390624996</v>
      </c>
      <c r="P49" s="61">
        <v>6264.8417968749991</v>
      </c>
      <c r="Q49" s="61">
        <v>6264.8417968749991</v>
      </c>
      <c r="R49" s="61">
        <v>6264.8417968749991</v>
      </c>
      <c r="S49" s="50">
        <f t="shared" si="31"/>
        <v>18794.525390624996</v>
      </c>
      <c r="T49" s="61">
        <v>6264.8417968749991</v>
      </c>
      <c r="U49" s="61">
        <v>6264.8417968749991</v>
      </c>
      <c r="V49" s="61">
        <v>6264.8417968749991</v>
      </c>
      <c r="W49" s="50">
        <f t="shared" si="32"/>
        <v>18794.525390624996</v>
      </c>
      <c r="X49" s="36"/>
      <c r="Y49" s="35">
        <f t="shared" si="33"/>
        <v>75178.101562499985</v>
      </c>
      <c r="AA49" s="35">
        <f t="shared" si="8"/>
        <v>-24071.897656250017</v>
      </c>
      <c r="AB49" s="56">
        <f t="shared" si="9"/>
        <v>-0.24253801355902105</v>
      </c>
    </row>
    <row r="50" spans="1:28" ht="13">
      <c r="B50" s="35" t="s">
        <v>26</v>
      </c>
      <c r="C50" s="36"/>
      <c r="D50" s="61">
        <v>177629.00076171872</v>
      </c>
      <c r="E50" s="49"/>
      <c r="F50" s="49"/>
      <c r="G50" s="49"/>
      <c r="H50" s="61">
        <v>9913.5013020833321</v>
      </c>
      <c r="I50" s="61">
        <v>9913.5013020833321</v>
      </c>
      <c r="J50" s="61">
        <v>9913.5013020833321</v>
      </c>
      <c r="K50" s="50">
        <f t="shared" si="29"/>
        <v>29740.503906249996</v>
      </c>
      <c r="L50" s="61">
        <v>9913.5013020833321</v>
      </c>
      <c r="M50" s="61">
        <v>9913.5013020833321</v>
      </c>
      <c r="N50" s="61">
        <v>9913.5013020833321</v>
      </c>
      <c r="O50" s="50">
        <f t="shared" si="30"/>
        <v>29740.503906249996</v>
      </c>
      <c r="P50" s="61">
        <v>9913.5013020833321</v>
      </c>
      <c r="Q50" s="61">
        <v>9913.5013020833321</v>
      </c>
      <c r="R50" s="61">
        <v>9913.5013020833321</v>
      </c>
      <c r="S50" s="50">
        <f t="shared" si="31"/>
        <v>29740.503906249996</v>
      </c>
      <c r="T50" s="61">
        <v>9913.5013020833321</v>
      </c>
      <c r="U50" s="61">
        <v>9913.5013020833321</v>
      </c>
      <c r="V50" s="61">
        <v>9913.5013020833321</v>
      </c>
      <c r="W50" s="50">
        <f t="shared" si="32"/>
        <v>29740.503906249996</v>
      </c>
      <c r="X50" s="36"/>
      <c r="Y50" s="35">
        <f t="shared" si="33"/>
        <v>118962.01562499999</v>
      </c>
      <c r="AA50" s="35">
        <f t="shared" si="8"/>
        <v>-58666.985136718737</v>
      </c>
      <c r="AB50" s="56">
        <f t="shared" si="9"/>
        <v>-0.33027819154045596</v>
      </c>
    </row>
    <row r="51" spans="1:28" ht="13">
      <c r="B51" s="35" t="s">
        <v>27</v>
      </c>
      <c r="C51" s="36"/>
      <c r="D51" s="61">
        <v>25000.00042480469</v>
      </c>
      <c r="E51" s="49"/>
      <c r="F51" s="49"/>
      <c r="G51" s="49"/>
      <c r="H51" s="61">
        <v>2549.748372395833</v>
      </c>
      <c r="I51" s="61">
        <v>2549.748372395833</v>
      </c>
      <c r="J51" s="61">
        <v>2549.748372395833</v>
      </c>
      <c r="K51" s="50">
        <f t="shared" si="29"/>
        <v>7649.2451171874991</v>
      </c>
      <c r="L51" s="61">
        <v>2549.748372395833</v>
      </c>
      <c r="M51" s="61">
        <v>2549.748372395833</v>
      </c>
      <c r="N51" s="61">
        <v>2549.748372395833</v>
      </c>
      <c r="O51" s="50">
        <f t="shared" si="30"/>
        <v>7649.2451171874991</v>
      </c>
      <c r="P51" s="61">
        <v>2549.748372395833</v>
      </c>
      <c r="Q51" s="61">
        <v>2549.748372395833</v>
      </c>
      <c r="R51" s="61">
        <v>2549.748372395833</v>
      </c>
      <c r="S51" s="50">
        <f t="shared" si="31"/>
        <v>7649.2451171874991</v>
      </c>
      <c r="T51" s="61">
        <v>2549.748372395833</v>
      </c>
      <c r="U51" s="61">
        <v>2549.748372395833</v>
      </c>
      <c r="V51" s="61">
        <v>2549.748372395833</v>
      </c>
      <c r="W51" s="50">
        <f t="shared" ref="W51:W56" si="34">SUM(T51:V51)</f>
        <v>7649.2451171874991</v>
      </c>
      <c r="X51" s="36"/>
      <c r="Y51" s="35">
        <f t="shared" ref="Y51:Y56" si="35">SUM(K51,O51,S51,W51)</f>
        <v>30596.980468749996</v>
      </c>
      <c r="AA51" s="35">
        <f t="shared" si="8"/>
        <v>5596.9800439453065</v>
      </c>
      <c r="AB51" s="56">
        <f t="shared" si="9"/>
        <v>0.22387919795361494</v>
      </c>
    </row>
    <row r="52" spans="1:28" ht="13">
      <c r="B52" s="35" t="s">
        <v>28</v>
      </c>
      <c r="C52" s="36"/>
      <c r="D52" s="61">
        <v>0</v>
      </c>
      <c r="E52" s="49"/>
      <c r="F52" s="49"/>
      <c r="G52" s="49"/>
      <c r="H52" s="61">
        <v>0</v>
      </c>
      <c r="I52" s="61">
        <v>0</v>
      </c>
      <c r="J52" s="61">
        <v>0</v>
      </c>
      <c r="K52" s="50">
        <f t="shared" si="29"/>
        <v>0</v>
      </c>
      <c r="L52" s="61">
        <v>0</v>
      </c>
      <c r="M52" s="61">
        <v>0</v>
      </c>
      <c r="N52" s="61">
        <v>0</v>
      </c>
      <c r="O52" s="50">
        <f t="shared" si="30"/>
        <v>0</v>
      </c>
      <c r="P52" s="61">
        <v>0</v>
      </c>
      <c r="Q52" s="61">
        <v>0</v>
      </c>
      <c r="R52" s="61">
        <v>0</v>
      </c>
      <c r="S52" s="50">
        <f t="shared" si="31"/>
        <v>0</v>
      </c>
      <c r="T52" s="61">
        <v>0</v>
      </c>
      <c r="U52" s="61">
        <v>0</v>
      </c>
      <c r="V52" s="61">
        <v>0</v>
      </c>
      <c r="W52" s="50">
        <f t="shared" si="34"/>
        <v>0</v>
      </c>
      <c r="X52" s="36"/>
      <c r="Y52" s="35">
        <f t="shared" si="35"/>
        <v>0</v>
      </c>
      <c r="AA52" s="35">
        <f t="shared" si="8"/>
        <v>0</v>
      </c>
      <c r="AB52" s="56" t="str">
        <f t="shared" si="9"/>
        <v/>
      </c>
    </row>
    <row r="53" spans="1:28" ht="13">
      <c r="B53" s="35" t="s">
        <v>99</v>
      </c>
      <c r="C53" s="36"/>
      <c r="D53" s="61">
        <v>55575.00048828125</v>
      </c>
      <c r="E53" s="49"/>
      <c r="F53" s="49"/>
      <c r="G53" s="49"/>
      <c r="H53" s="61">
        <v>2325.833333333333</v>
      </c>
      <c r="I53" s="61">
        <v>2325.833333333333</v>
      </c>
      <c r="J53" s="61">
        <v>2325.833333333333</v>
      </c>
      <c r="K53" s="50">
        <f t="shared" si="29"/>
        <v>6977.4999999999991</v>
      </c>
      <c r="L53" s="61">
        <v>2325.833333333333</v>
      </c>
      <c r="M53" s="61">
        <v>2325.833333333333</v>
      </c>
      <c r="N53" s="61">
        <v>2325.833333333333</v>
      </c>
      <c r="O53" s="50">
        <f t="shared" si="30"/>
        <v>6977.4999999999991</v>
      </c>
      <c r="P53" s="61">
        <v>2325.833333333333</v>
      </c>
      <c r="Q53" s="61">
        <v>2325.833333333333</v>
      </c>
      <c r="R53" s="61">
        <v>2325.833333333333</v>
      </c>
      <c r="S53" s="50">
        <f t="shared" si="31"/>
        <v>6977.4999999999991</v>
      </c>
      <c r="T53" s="61">
        <v>2325.833333333333</v>
      </c>
      <c r="U53" s="61">
        <v>2325.833333333333</v>
      </c>
      <c r="V53" s="61">
        <v>2325.833333333333</v>
      </c>
      <c r="W53" s="50">
        <f t="shared" si="34"/>
        <v>6977.4999999999991</v>
      </c>
      <c r="X53" s="36"/>
      <c r="Y53" s="35">
        <f t="shared" si="35"/>
        <v>27909.999999999996</v>
      </c>
      <c r="AA53" s="35">
        <f t="shared" si="8"/>
        <v>-27665.000488281254</v>
      </c>
      <c r="AB53" s="56">
        <f t="shared" si="9"/>
        <v>-0.49779577589234209</v>
      </c>
    </row>
    <row r="54" spans="1:28" ht="13">
      <c r="B54" s="35" t="s">
        <v>100</v>
      </c>
      <c r="C54" s="36"/>
      <c r="D54" s="61">
        <v>72538.999199218757</v>
      </c>
      <c r="E54" s="49"/>
      <c r="F54" s="49"/>
      <c r="G54" s="49"/>
      <c r="H54" s="61">
        <v>0</v>
      </c>
      <c r="I54" s="61">
        <v>0</v>
      </c>
      <c r="J54" s="61">
        <v>0</v>
      </c>
      <c r="K54" s="50">
        <f t="shared" si="29"/>
        <v>0</v>
      </c>
      <c r="L54" s="61">
        <v>20672.139322916664</v>
      </c>
      <c r="M54" s="61">
        <v>5168.0348307291661</v>
      </c>
      <c r="N54" s="61">
        <v>5168.0348307291661</v>
      </c>
      <c r="O54" s="50">
        <f t="shared" si="30"/>
        <v>31008.208984374993</v>
      </c>
      <c r="P54" s="61">
        <v>5168.0348307291661</v>
      </c>
      <c r="Q54" s="61">
        <v>5168.0348307291661</v>
      </c>
      <c r="R54" s="61">
        <v>5168.0348307291661</v>
      </c>
      <c r="S54" s="50">
        <f t="shared" si="31"/>
        <v>15504.104492187498</v>
      </c>
      <c r="T54" s="61">
        <v>5168.0348307291661</v>
      </c>
      <c r="U54" s="61">
        <v>5168.0348307291661</v>
      </c>
      <c r="V54" s="61">
        <v>5168.0348307291661</v>
      </c>
      <c r="W54" s="50">
        <f t="shared" si="34"/>
        <v>15504.104492187498</v>
      </c>
      <c r="X54" s="36"/>
      <c r="Y54" s="35">
        <f t="shared" si="35"/>
        <v>62016.417968749993</v>
      </c>
      <c r="AA54" s="35">
        <f t="shared" si="8"/>
        <v>-10522.581230468764</v>
      </c>
      <c r="AB54" s="56">
        <f t="shared" si="9"/>
        <v>-0.14506102023230136</v>
      </c>
    </row>
    <row r="55" spans="1:28" ht="13">
      <c r="B55" s="35" t="s">
        <v>30</v>
      </c>
      <c r="C55" s="36"/>
      <c r="D55" s="61">
        <v>0</v>
      </c>
      <c r="E55" s="49"/>
      <c r="F55" s="49"/>
      <c r="G55" s="49"/>
      <c r="H55" s="61">
        <v>0</v>
      </c>
      <c r="I55" s="61">
        <v>0</v>
      </c>
      <c r="J55" s="61">
        <v>0</v>
      </c>
      <c r="K55" s="50">
        <f t="shared" si="29"/>
        <v>0</v>
      </c>
      <c r="L55" s="61">
        <v>0</v>
      </c>
      <c r="M55" s="61">
        <v>0</v>
      </c>
      <c r="N55" s="61">
        <v>0</v>
      </c>
      <c r="O55" s="50">
        <f t="shared" si="30"/>
        <v>0</v>
      </c>
      <c r="P55" s="61">
        <v>0</v>
      </c>
      <c r="Q55" s="61">
        <v>0</v>
      </c>
      <c r="R55" s="61">
        <v>0</v>
      </c>
      <c r="S55" s="50">
        <f t="shared" si="31"/>
        <v>0</v>
      </c>
      <c r="T55" s="61">
        <v>0</v>
      </c>
      <c r="U55" s="61">
        <v>0</v>
      </c>
      <c r="V55" s="61">
        <v>0</v>
      </c>
      <c r="W55" s="50">
        <f t="shared" si="34"/>
        <v>0</v>
      </c>
      <c r="X55" s="36"/>
      <c r="Y55" s="35">
        <f t="shared" si="35"/>
        <v>0</v>
      </c>
      <c r="AA55" s="35">
        <f t="shared" si="8"/>
        <v>0</v>
      </c>
      <c r="AB55" s="56" t="str">
        <f t="shared" si="9"/>
        <v/>
      </c>
    </row>
    <row r="56" spans="1:28" ht="13">
      <c r="B56" s="35" t="s">
        <v>101</v>
      </c>
      <c r="C56" s="36"/>
      <c r="D56" s="61">
        <v>0</v>
      </c>
      <c r="E56" s="49"/>
      <c r="F56" s="49"/>
      <c r="G56" s="49"/>
      <c r="H56" s="61">
        <v>0</v>
      </c>
      <c r="I56" s="61">
        <v>0</v>
      </c>
      <c r="J56" s="61">
        <v>0</v>
      </c>
      <c r="K56" s="50">
        <f t="shared" si="29"/>
        <v>0</v>
      </c>
      <c r="L56" s="61">
        <v>0</v>
      </c>
      <c r="M56" s="61">
        <v>0</v>
      </c>
      <c r="N56" s="61">
        <v>0</v>
      </c>
      <c r="O56" s="50">
        <f t="shared" si="30"/>
        <v>0</v>
      </c>
      <c r="P56" s="61">
        <v>0</v>
      </c>
      <c r="Q56" s="61">
        <v>0</v>
      </c>
      <c r="R56" s="61">
        <v>0</v>
      </c>
      <c r="S56" s="50">
        <f t="shared" si="31"/>
        <v>0</v>
      </c>
      <c r="T56" s="61">
        <v>0</v>
      </c>
      <c r="U56" s="61">
        <v>0</v>
      </c>
      <c r="V56" s="61">
        <v>0</v>
      </c>
      <c r="W56" s="50">
        <f t="shared" si="34"/>
        <v>0</v>
      </c>
      <c r="X56" s="36"/>
      <c r="Y56" s="35">
        <f t="shared" si="35"/>
        <v>0</v>
      </c>
      <c r="AA56" s="35">
        <f t="shared" si="8"/>
        <v>0</v>
      </c>
      <c r="AB56" s="56" t="str">
        <f t="shared" si="9"/>
        <v/>
      </c>
    </row>
    <row r="57" spans="1:28" ht="13">
      <c r="B57" s="35" t="s">
        <v>102</v>
      </c>
      <c r="C57" s="36"/>
      <c r="D57" s="61">
        <v>246784.48</v>
      </c>
      <c r="E57" s="49"/>
      <c r="F57" s="49"/>
      <c r="G57" s="49"/>
      <c r="H57" s="61">
        <v>27193.065104166664</v>
      </c>
      <c r="I57" s="61">
        <v>27193.065104166664</v>
      </c>
      <c r="J57" s="61">
        <v>27193.065104166664</v>
      </c>
      <c r="K57" s="50">
        <f t="shared" si="29"/>
        <v>81579.1953125</v>
      </c>
      <c r="L57" s="61">
        <v>27193.065104166664</v>
      </c>
      <c r="M57" s="61">
        <v>27193.065104166664</v>
      </c>
      <c r="N57" s="61">
        <v>27193.065104166664</v>
      </c>
      <c r="O57" s="50">
        <f t="shared" si="30"/>
        <v>81579.1953125</v>
      </c>
      <c r="P57" s="61">
        <v>27193.065104166664</v>
      </c>
      <c r="Q57" s="61">
        <v>27193.065104166664</v>
      </c>
      <c r="R57" s="61">
        <v>27193.065104166664</v>
      </c>
      <c r="S57" s="50">
        <f t="shared" si="31"/>
        <v>81579.1953125</v>
      </c>
      <c r="T57" s="61">
        <v>27193.065104166664</v>
      </c>
      <c r="U57" s="61">
        <v>27193.065104166664</v>
      </c>
      <c r="V57" s="61">
        <v>27193.065104166664</v>
      </c>
      <c r="W57" s="50">
        <f t="shared" si="32"/>
        <v>81579.1953125</v>
      </c>
      <c r="X57" s="36"/>
      <c r="Y57" s="35">
        <f t="shared" si="33"/>
        <v>326316.78125</v>
      </c>
      <c r="AA57" s="35">
        <f t="shared" si="8"/>
        <v>79532.30124999999</v>
      </c>
      <c r="AB57" s="56">
        <f t="shared" si="9"/>
        <v>0.3222743231259923</v>
      </c>
    </row>
    <row r="58" spans="1:28" ht="13">
      <c r="B58" s="35" t="s">
        <v>31</v>
      </c>
      <c r="C58" s="36"/>
      <c r="D58" s="61">
        <v>623445.78910156258</v>
      </c>
      <c r="E58" s="49"/>
      <c r="F58" s="49"/>
      <c r="G58" s="49"/>
      <c r="H58" s="61">
        <v>34930.330891927078</v>
      </c>
      <c r="I58" s="61">
        <v>34930.330891927078</v>
      </c>
      <c r="J58" s="61">
        <v>34930.330891927078</v>
      </c>
      <c r="K58" s="50">
        <f t="shared" si="29"/>
        <v>104790.99267578124</v>
      </c>
      <c r="L58" s="61">
        <v>34930.330891927078</v>
      </c>
      <c r="M58" s="61">
        <v>34930.330891927078</v>
      </c>
      <c r="N58" s="61">
        <v>34930.330891927078</v>
      </c>
      <c r="O58" s="50">
        <f t="shared" si="30"/>
        <v>104790.99267578124</v>
      </c>
      <c r="P58" s="61">
        <v>34930.330891927078</v>
      </c>
      <c r="Q58" s="61">
        <v>34930.330891927078</v>
      </c>
      <c r="R58" s="61">
        <v>34930.330891927078</v>
      </c>
      <c r="S58" s="50">
        <f t="shared" si="31"/>
        <v>104790.99267578124</v>
      </c>
      <c r="T58" s="61">
        <v>34930.330891927078</v>
      </c>
      <c r="U58" s="61">
        <v>34930.330891927078</v>
      </c>
      <c r="V58" s="61">
        <v>34930.330891927078</v>
      </c>
      <c r="W58" s="50">
        <f t="shared" si="32"/>
        <v>104790.99267578124</v>
      </c>
      <c r="X58" s="36"/>
      <c r="Y58" s="42">
        <f t="shared" si="33"/>
        <v>419163.97070312494</v>
      </c>
      <c r="AA58" s="42">
        <f t="shared" si="8"/>
        <v>-204281.81839843764</v>
      </c>
      <c r="AB58" s="59">
        <f t="shared" si="9"/>
        <v>-0.32766572807047872</v>
      </c>
    </row>
    <row r="59" spans="1:28" ht="13">
      <c r="B59" s="43" t="s">
        <v>32</v>
      </c>
      <c r="C59" s="36"/>
      <c r="D59" s="43">
        <f>SUM(D47:D58)</f>
        <v>1377412.8907177735</v>
      </c>
      <c r="E59" s="34"/>
      <c r="F59" s="34"/>
      <c r="G59" s="34"/>
      <c r="H59" s="43">
        <f>SUM(H47:H58)</f>
        <v>85594.01245117186</v>
      </c>
      <c r="I59" s="43">
        <f>SUM(I47:I58)</f>
        <v>85594.01245117186</v>
      </c>
      <c r="J59" s="43">
        <f>SUM(J47:J58)</f>
        <v>85594.01245117186</v>
      </c>
      <c r="K59" s="43">
        <f t="shared" si="29"/>
        <v>256782.03735351557</v>
      </c>
      <c r="L59" s="43">
        <f>SUM(L47:L58)</f>
        <v>106266.15177408852</v>
      </c>
      <c r="M59" s="43">
        <f>SUM(M47:M58)</f>
        <v>90762.047281901032</v>
      </c>
      <c r="N59" s="43">
        <f>SUM(N47:N58)</f>
        <v>90762.047281901032</v>
      </c>
      <c r="O59" s="43">
        <f t="shared" si="30"/>
        <v>287790.24633789062</v>
      </c>
      <c r="P59" s="43">
        <f>SUM(P47:P58)</f>
        <v>90762.047281901032</v>
      </c>
      <c r="Q59" s="43">
        <f>SUM(Q47:Q58)</f>
        <v>90762.047281901032</v>
      </c>
      <c r="R59" s="43">
        <f>SUM(R47:R58)</f>
        <v>90762.047281901032</v>
      </c>
      <c r="S59" s="43">
        <f t="shared" si="31"/>
        <v>272286.14184570312</v>
      </c>
      <c r="T59" s="43">
        <f>SUM(T47:T58)</f>
        <v>90762.047281901032</v>
      </c>
      <c r="U59" s="43">
        <f>SUM(U47:U58)</f>
        <v>90762.047281901032</v>
      </c>
      <c r="V59" s="43">
        <f>SUM(V47:V58)</f>
        <v>90762.047281901032</v>
      </c>
      <c r="W59" s="43">
        <f t="shared" si="32"/>
        <v>272286.14184570312</v>
      </c>
      <c r="X59" s="36"/>
      <c r="Y59" s="35">
        <f t="shared" si="33"/>
        <v>1089144.5673828125</v>
      </c>
      <c r="AA59" s="35">
        <f t="shared" si="8"/>
        <v>-288268.32333496097</v>
      </c>
      <c r="AB59" s="56">
        <f t="shared" si="9"/>
        <v>-0.20928243468430413</v>
      </c>
    </row>
    <row r="60" spans="1:28" ht="13">
      <c r="B60" s="34"/>
      <c r="C60" s="36"/>
      <c r="D60" s="34"/>
      <c r="E60" s="34"/>
      <c r="F60" s="34"/>
      <c r="G60" s="34"/>
      <c r="H60" s="34"/>
      <c r="I60" s="34"/>
      <c r="J60" s="34"/>
      <c r="K60" s="34"/>
      <c r="L60" s="34"/>
      <c r="M60" s="34"/>
      <c r="N60" s="34"/>
      <c r="O60" s="34"/>
      <c r="P60" s="34"/>
      <c r="Q60" s="34"/>
      <c r="R60" s="34"/>
      <c r="S60" s="34"/>
      <c r="T60" s="34"/>
      <c r="U60" s="34"/>
      <c r="V60" s="34"/>
      <c r="W60" s="34"/>
      <c r="X60" s="36"/>
      <c r="AB60" s="59"/>
    </row>
    <row r="61" spans="1:28" ht="13">
      <c r="B61" s="43" t="s">
        <v>103</v>
      </c>
      <c r="C61" s="36"/>
      <c r="D61" s="43">
        <f>D59+D44+D35+D27</f>
        <v>8116566.9060346195</v>
      </c>
      <c r="E61" s="34"/>
      <c r="F61" s="34"/>
      <c r="G61" s="34"/>
      <c r="H61" s="43">
        <f t="shared" ref="H61:W61" si="36">H59+H44+H35+H27</f>
        <v>558431.5640329551</v>
      </c>
      <c r="I61" s="43">
        <f t="shared" si="36"/>
        <v>621573.50767521653</v>
      </c>
      <c r="J61" s="43">
        <f t="shared" si="36"/>
        <v>663120.07211359637</v>
      </c>
      <c r="K61" s="43">
        <f t="shared" si="36"/>
        <v>1843125.143821768</v>
      </c>
      <c r="L61" s="43">
        <f t="shared" si="36"/>
        <v>683366.83257390105</v>
      </c>
      <c r="M61" s="43">
        <f t="shared" si="36"/>
        <v>666750.65653177374</v>
      </c>
      <c r="N61" s="43">
        <f t="shared" si="36"/>
        <v>666327.22909450787</v>
      </c>
      <c r="O61" s="43">
        <f t="shared" si="36"/>
        <v>2016444.7182001825</v>
      </c>
      <c r="P61" s="43">
        <f t="shared" si="36"/>
        <v>666662.60248847399</v>
      </c>
      <c r="Q61" s="43">
        <f t="shared" si="36"/>
        <v>666618.91691262368</v>
      </c>
      <c r="R61" s="43">
        <f t="shared" si="36"/>
        <v>666895.10441054916</v>
      </c>
      <c r="S61" s="43">
        <f t="shared" si="36"/>
        <v>2000176.6238116468</v>
      </c>
      <c r="T61" s="43">
        <f t="shared" si="36"/>
        <v>669451.83146776503</v>
      </c>
      <c r="U61" s="43">
        <f t="shared" si="36"/>
        <v>668997.97349372366</v>
      </c>
      <c r="V61" s="43">
        <f t="shared" si="36"/>
        <v>686199.61774373206</v>
      </c>
      <c r="W61" s="51">
        <f t="shared" si="36"/>
        <v>2024649.4227052208</v>
      </c>
      <c r="X61" s="36"/>
      <c r="Y61" s="57">
        <f>SUM(K61,O61,S61,W61)</f>
        <v>7884395.9085388184</v>
      </c>
      <c r="AA61" s="57">
        <f t="shared" si="8"/>
        <v>-232170.99749580119</v>
      </c>
      <c r="AB61" s="59">
        <f t="shared" si="9"/>
        <v>-2.8604581245203983E-2</v>
      </c>
    </row>
    <row r="62" spans="1:28" ht="12.75" customHeight="1">
      <c r="A62" s="34" t="s">
        <v>126</v>
      </c>
      <c r="B62" s="43"/>
      <c r="C62" s="36"/>
      <c r="D62" s="43">
        <f>D16-D61</f>
        <v>1219053.2428136459</v>
      </c>
      <c r="E62" s="34"/>
      <c r="F62" s="34"/>
      <c r="G62" s="34"/>
      <c r="H62" s="43">
        <f t="shared" ref="H62:W62" si="37">H16-H61</f>
        <v>1620341.9859670447</v>
      </c>
      <c r="I62" s="43">
        <f t="shared" si="37"/>
        <v>-452518.50767521653</v>
      </c>
      <c r="J62" s="43">
        <f t="shared" si="37"/>
        <v>-494065.07211359637</v>
      </c>
      <c r="K62" s="43">
        <f t="shared" si="37"/>
        <v>673758.40617823182</v>
      </c>
      <c r="L62" s="43">
        <f t="shared" si="37"/>
        <v>1636929.4174260991</v>
      </c>
      <c r="M62" s="43">
        <f t="shared" si="37"/>
        <v>-497695.65653177374</v>
      </c>
      <c r="N62" s="43">
        <f t="shared" si="37"/>
        <v>-497272.22909450787</v>
      </c>
      <c r="O62" s="43">
        <f t="shared" si="37"/>
        <v>641961.53179981746</v>
      </c>
      <c r="P62" s="43">
        <f t="shared" si="37"/>
        <v>367938.9975115261</v>
      </c>
      <c r="Q62" s="43">
        <f t="shared" si="37"/>
        <v>-497563.91691262368</v>
      </c>
      <c r="R62" s="43">
        <f t="shared" si="37"/>
        <v>-497840.10441054916</v>
      </c>
      <c r="S62" s="43">
        <f t="shared" si="37"/>
        <v>-627465.02381164674</v>
      </c>
      <c r="T62" s="43">
        <f t="shared" si="37"/>
        <v>365149.76853223506</v>
      </c>
      <c r="U62" s="43">
        <f t="shared" si="37"/>
        <v>-499942.97349372366</v>
      </c>
      <c r="V62" s="43">
        <f t="shared" si="37"/>
        <v>-517144.61774373206</v>
      </c>
      <c r="W62" s="43">
        <f t="shared" si="37"/>
        <v>-651937.82270522066</v>
      </c>
      <c r="X62" s="36"/>
      <c r="Y62" s="35">
        <f t="shared" ref="Y62" si="38">SUM(K62,O62,S62,W62)</f>
        <v>36317.091461181873</v>
      </c>
      <c r="AA62" s="35">
        <f t="shared" si="8"/>
        <v>-1182736.151352464</v>
      </c>
      <c r="AB62" s="56">
        <f t="shared" si="9"/>
        <v>-0.97020877334499356</v>
      </c>
    </row>
    <row r="63" spans="1:28" ht="12.75" customHeight="1">
      <c r="A63" s="34"/>
      <c r="B63" s="34"/>
      <c r="C63" s="36"/>
      <c r="D63" s="52"/>
      <c r="E63" s="34"/>
      <c r="F63" s="34"/>
      <c r="G63" s="34"/>
      <c r="H63" s="52"/>
      <c r="I63" s="52"/>
      <c r="J63" s="52"/>
      <c r="K63" s="34"/>
      <c r="L63" s="52"/>
      <c r="M63" s="52"/>
      <c r="N63" s="52"/>
      <c r="O63" s="34"/>
      <c r="P63" s="52"/>
      <c r="Q63" s="52"/>
      <c r="R63" s="52"/>
      <c r="S63" s="34"/>
      <c r="T63" s="52"/>
      <c r="U63" s="52"/>
      <c r="V63" s="52"/>
      <c r="W63" s="34"/>
      <c r="X63" s="36"/>
      <c r="AB63" s="59"/>
    </row>
    <row r="64" spans="1:28" ht="13">
      <c r="A64" s="34" t="s">
        <v>125</v>
      </c>
      <c r="B64" s="43"/>
      <c r="C64" s="36"/>
      <c r="D64" s="53">
        <f>D62</f>
        <v>1219053.2428136459</v>
      </c>
      <c r="E64" s="54"/>
      <c r="F64" s="54"/>
      <c r="G64" s="54"/>
      <c r="H64" s="53">
        <f>H62</f>
        <v>1620341.9859670447</v>
      </c>
      <c r="I64" s="53">
        <f t="shared" ref="I64:W64" si="39">I62</f>
        <v>-452518.50767521653</v>
      </c>
      <c r="J64" s="53">
        <f t="shared" si="39"/>
        <v>-494065.07211359637</v>
      </c>
      <c r="K64" s="53">
        <f t="shared" si="39"/>
        <v>673758.40617823182</v>
      </c>
      <c r="L64" s="53">
        <f t="shared" si="39"/>
        <v>1636929.4174260991</v>
      </c>
      <c r="M64" s="53">
        <f t="shared" si="39"/>
        <v>-497695.65653177374</v>
      </c>
      <c r="N64" s="53">
        <f t="shared" si="39"/>
        <v>-497272.22909450787</v>
      </c>
      <c r="O64" s="53">
        <f t="shared" si="39"/>
        <v>641961.53179981746</v>
      </c>
      <c r="P64" s="53">
        <f t="shared" si="39"/>
        <v>367938.9975115261</v>
      </c>
      <c r="Q64" s="53">
        <f t="shared" si="39"/>
        <v>-497563.91691262368</v>
      </c>
      <c r="R64" s="53">
        <f t="shared" si="39"/>
        <v>-497840.10441054916</v>
      </c>
      <c r="S64" s="53">
        <f t="shared" si="39"/>
        <v>-627465.02381164674</v>
      </c>
      <c r="T64" s="53">
        <f t="shared" si="39"/>
        <v>365149.76853223506</v>
      </c>
      <c r="U64" s="53">
        <f t="shared" si="39"/>
        <v>-499942.97349372366</v>
      </c>
      <c r="V64" s="53">
        <f t="shared" si="39"/>
        <v>-517144.61774373206</v>
      </c>
      <c r="W64" s="53">
        <f t="shared" si="39"/>
        <v>-651937.82270522066</v>
      </c>
      <c r="X64" s="55"/>
      <c r="Y64" s="58">
        <f>SUM(K64,O64,S64,W64)</f>
        <v>36317.091461181873</v>
      </c>
      <c r="AA64" s="58">
        <f t="shared" si="8"/>
        <v>-1182736.151352464</v>
      </c>
      <c r="AB64" s="56">
        <f t="shared" si="9"/>
        <v>-0.97020877334499356</v>
      </c>
    </row>
  </sheetData>
  <sheetProtection algorithmName="SHA-512" hashValue="DJ9wQ6RUeSYJFU6UlcGjWZ+lH6gnxIAV+qy61EvBnPS37Tzu+JiEALzmtsn3VPOf1voy3o0oaomx+QFOaLz/mQ==" saltValue="0c/pbraU4rcNeIjFiLPJaQ==" spinCount="100000" sheet="1" objects="1" scenarios="1"/>
  <mergeCells count="1">
    <mergeCell ref="AA4:AB4"/>
  </mergeCells>
  <conditionalFormatting sqref="D5">
    <cfRule type="containsText" dxfId="3" priority="1" operator="containsText" text="Projected">
      <formula>NOT(ISERROR(SEARCH("Projected",D5)))</formula>
    </cfRule>
  </conditionalFormatting>
  <dataValidations count="2">
    <dataValidation type="decimal" allowBlank="1" showInputMessage="1" showErrorMessage="1" sqref="D7:D15 H7:J15 L7:N15 P7:R15 T7:V15 D20:D26 F20:F26 H20:J26 L20:N26 P20:R26 T20:V26 D30:D34 H30:J34 L30:N34 P30:R34 T30:V34 D38:D43 H38:J43 L38:N43 P38:R43 T38:V43 D47:D58 H47:J58 L47:N58 P47:R58 T47:V58" xr:uid="{72695B28-6771-9C43-B750-CD21041E4179}">
      <formula1>-1000000000</formula1>
      <formula2>1000000000</formula2>
    </dataValidation>
    <dataValidation type="list" allowBlank="1" showInputMessage="1" showErrorMessage="1" sqref="D5" xr:uid="{3E4B9539-98D1-A147-BFB2-0E1C6059642C}">
      <formula1>"Budget,Projected"</formula1>
    </dataValidation>
  </dataValidations>
  <pageMargins left="0.75" right="0.35" top="0.5" bottom="0.5" header="0.5" footer="0.5"/>
  <pageSetup scale="33" orientation="portrait" horizontalDpi="300" verticalDpi="300"/>
  <headerFooter alignWithMargins="0">
    <oddHeader xml:space="preserve">&amp;C&amp;"Arial,Bold"&amp;11
</oddHeader>
    <oddFooter>&amp;RPage &amp;P of &amp;N</oddFoot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C52A-71D6-794F-A8A7-7AE1AB0421DA}">
  <sheetPr>
    <tabColor rgb="FFFFC000"/>
  </sheetPr>
  <dimension ref="A1:R80"/>
  <sheetViews>
    <sheetView workbookViewId="0">
      <pane ySplit="5" topLeftCell="A6" activePane="bottomLeft" state="frozen"/>
      <selection pane="bottomLeft" activeCell="B1" sqref="B1"/>
    </sheetView>
  </sheetViews>
  <sheetFormatPr baseColWidth="10" defaultRowHeight="15"/>
  <cols>
    <col min="1" max="1" width="2.83203125" style="66" customWidth="1"/>
    <col min="2" max="2" width="43.6640625" style="66" bestFit="1" customWidth="1"/>
    <col min="3" max="3" width="13.5" style="66" bestFit="1" customWidth="1"/>
    <col min="4" max="4" width="14.5" style="66" bestFit="1" customWidth="1"/>
    <col min="5" max="5" width="6.5" style="69" bestFit="1" customWidth="1"/>
    <col min="6" max="6" width="8.6640625" style="69" bestFit="1" customWidth="1"/>
    <col min="7" max="8" width="10.6640625" style="66" bestFit="1" customWidth="1"/>
    <col min="9" max="9" width="11.5" style="66" bestFit="1" customWidth="1"/>
    <col min="10" max="11" width="11.1640625" style="66" bestFit="1" customWidth="1"/>
    <col min="12" max="12" width="10.83203125" style="66"/>
    <col min="13" max="13" width="14.5" style="66" bestFit="1" customWidth="1"/>
    <col min="14" max="14" width="6.5" style="66" bestFit="1" customWidth="1"/>
    <col min="15" max="15" width="8.6640625" style="66" bestFit="1" customWidth="1"/>
    <col min="16" max="16" width="10.83203125" style="66"/>
    <col min="17" max="17" width="35.33203125" style="66" bestFit="1" customWidth="1"/>
    <col min="18" max="18" width="13.6640625" style="66" bestFit="1" customWidth="1"/>
    <col min="19" max="16384" width="10.83203125" style="66"/>
  </cols>
  <sheetData>
    <row r="1" spans="1:18">
      <c r="A1" s="34" t="str">
        <f>'3 FY22 Annual Budget'!A1</f>
        <v>Academy of Hope Adult PCS</v>
      </c>
      <c r="B1" s="34"/>
      <c r="E1" s="66"/>
      <c r="F1" s="66"/>
      <c r="H1" s="67" t="s">
        <v>220</v>
      </c>
      <c r="I1" s="67">
        <f>'2 Enrollments'!C23</f>
        <v>415</v>
      </c>
      <c r="J1" s="67">
        <f>-G62/I62</f>
        <v>409.72179147381064</v>
      </c>
      <c r="K1" s="68">
        <v>532</v>
      </c>
    </row>
    <row r="2" spans="1:18">
      <c r="A2" s="35" t="str">
        <f>'3 FY22 Annual Budget'!A2</f>
        <v>FY22 Annual Budget</v>
      </c>
      <c r="B2" s="35"/>
    </row>
    <row r="3" spans="1:18" s="71" customFormat="1">
      <c r="A3" s="70"/>
      <c r="B3" s="38"/>
      <c r="C3" s="95" t="s">
        <v>221</v>
      </c>
      <c r="D3" s="96"/>
      <c r="E3" s="96"/>
      <c r="F3" s="96"/>
      <c r="G3" s="96"/>
      <c r="H3" s="96"/>
      <c r="I3" s="97"/>
      <c r="J3" s="71" t="s">
        <v>111</v>
      </c>
      <c r="K3" s="71" t="s">
        <v>111</v>
      </c>
    </row>
    <row r="4" spans="1:18" s="71" customFormat="1">
      <c r="A4" s="38"/>
      <c r="B4" s="38"/>
      <c r="C4" s="71" t="s">
        <v>111</v>
      </c>
      <c r="D4" s="71" t="s">
        <v>222</v>
      </c>
      <c r="E4" s="72" t="s">
        <v>223</v>
      </c>
      <c r="F4" s="72" t="s">
        <v>224</v>
      </c>
      <c r="G4" s="71" t="s">
        <v>223</v>
      </c>
      <c r="H4" s="71" t="s">
        <v>224</v>
      </c>
      <c r="I4" s="71" t="s">
        <v>225</v>
      </c>
      <c r="J4" s="71" t="s">
        <v>226</v>
      </c>
      <c r="K4" s="71" t="s">
        <v>226</v>
      </c>
      <c r="M4" s="71" t="s">
        <v>222</v>
      </c>
      <c r="N4" s="72" t="s">
        <v>223</v>
      </c>
      <c r="O4" s="72" t="s">
        <v>224</v>
      </c>
    </row>
    <row r="5" spans="1:18" s="71" customFormat="1" ht="16" thickBot="1">
      <c r="A5" s="38"/>
      <c r="B5" s="38"/>
      <c r="C5" s="73" t="s">
        <v>77</v>
      </c>
      <c r="D5" s="73" t="s">
        <v>227</v>
      </c>
      <c r="E5" s="74" t="s">
        <v>130</v>
      </c>
      <c r="F5" s="74" t="s">
        <v>130</v>
      </c>
      <c r="G5" s="73" t="s">
        <v>228</v>
      </c>
      <c r="H5" s="73" t="s">
        <v>228</v>
      </c>
      <c r="I5" s="73" t="s">
        <v>229</v>
      </c>
      <c r="J5" s="73" t="s">
        <v>230</v>
      </c>
      <c r="K5" s="73" t="s">
        <v>231</v>
      </c>
      <c r="M5" s="73" t="s">
        <v>227</v>
      </c>
      <c r="N5" s="74" t="s">
        <v>130</v>
      </c>
      <c r="O5" s="74" t="s">
        <v>130</v>
      </c>
      <c r="Q5" s="98" t="s">
        <v>232</v>
      </c>
      <c r="R5" s="98"/>
    </row>
    <row r="6" spans="1:18">
      <c r="A6" s="34" t="str">
        <f>'3 FY22 Annual Budget'!A6</f>
        <v>REVENUE</v>
      </c>
      <c r="B6" s="35"/>
      <c r="M6" s="66" t="s">
        <v>224</v>
      </c>
      <c r="N6" s="69">
        <v>0</v>
      </c>
      <c r="O6" s="69">
        <f>100%-N6</f>
        <v>1</v>
      </c>
      <c r="Q6" s="66" t="s">
        <v>233</v>
      </c>
      <c r="R6" s="75">
        <v>6377224</v>
      </c>
    </row>
    <row r="7" spans="1:18">
      <c r="A7" s="35"/>
      <c r="B7" s="35" t="str">
        <f>'3 FY22 Annual Budget'!B7</f>
        <v>Per Pupil Charter Payments - General Education</v>
      </c>
      <c r="C7" s="66">
        <f>'3 FY22 Annual Budget'!Y7</f>
        <v>4327733</v>
      </c>
      <c r="D7" s="66" t="s">
        <v>224</v>
      </c>
      <c r="E7" s="69">
        <f>VLOOKUP($D7,$M$6:$O$11,2,FALSE)</f>
        <v>0</v>
      </c>
      <c r="F7" s="69">
        <f>VLOOKUP($D7,$M$6:$O$11,3,FALSE)</f>
        <v>1</v>
      </c>
      <c r="G7" s="66">
        <f>C7*E7</f>
        <v>0</v>
      </c>
      <c r="H7" s="66">
        <f>C7-G7</f>
        <v>4327733</v>
      </c>
      <c r="I7" s="66">
        <f>H7/I$1</f>
        <v>10428.272289156626</v>
      </c>
      <c r="J7" s="66">
        <f>$I7*J$1+$G7</f>
        <v>4272690.4042899488</v>
      </c>
      <c r="K7" s="66">
        <f>$I7*K$1+$G7</f>
        <v>5547840.8578313254</v>
      </c>
      <c r="M7" s="66" t="s">
        <v>223</v>
      </c>
      <c r="N7" s="69">
        <v>1</v>
      </c>
      <c r="O7" s="69">
        <f t="shared" ref="O7:O10" si="0">100%-N7</f>
        <v>0</v>
      </c>
      <c r="Q7" s="66" t="s">
        <v>234</v>
      </c>
      <c r="R7" s="75">
        <f>R6*0.95</f>
        <v>6058362.7999999998</v>
      </c>
    </row>
    <row r="8" spans="1:18">
      <c r="A8" s="35"/>
      <c r="B8" s="35" t="str">
        <f>'3 FY22 Annual Budget'!B8</f>
        <v>Per Pupil Charter Payments - Categorical Enhancements</v>
      </c>
      <c r="C8" s="66">
        <f>'3 FY22 Annual Budget'!Y8</f>
        <v>0</v>
      </c>
      <c r="D8" s="66" t="s">
        <v>224</v>
      </c>
      <c r="E8" s="69">
        <f t="shared" ref="E8:E15" si="1">VLOOKUP($D8,$M$6:$O$11,2,FALSE)</f>
        <v>0</v>
      </c>
      <c r="F8" s="69">
        <f t="shared" ref="F8:F15" si="2">VLOOKUP($D8,$M$6:$O$11,3,FALSE)</f>
        <v>1</v>
      </c>
      <c r="G8" s="66">
        <f t="shared" ref="G8:G58" si="3">C8*E8</f>
        <v>0</v>
      </c>
      <c r="H8" s="66">
        <f t="shared" ref="H8:H58" si="4">C8-G8</f>
        <v>0</v>
      </c>
      <c r="I8" s="66">
        <f t="shared" ref="I8:I58" si="5">H8/I$1</f>
        <v>0</v>
      </c>
      <c r="J8" s="66">
        <f t="shared" ref="J8:K15" si="6">$I8*J$1+$G8</f>
        <v>0</v>
      </c>
      <c r="K8" s="66">
        <f t="shared" si="6"/>
        <v>0</v>
      </c>
      <c r="M8" s="66" t="s">
        <v>235</v>
      </c>
      <c r="N8" s="69">
        <v>0.7</v>
      </c>
      <c r="O8" s="69">
        <f t="shared" si="0"/>
        <v>0.30000000000000004</v>
      </c>
      <c r="Q8" s="66" t="s">
        <v>236</v>
      </c>
      <c r="R8" s="66">
        <f>SUM(K7:K9)</f>
        <v>7360896.8578313254</v>
      </c>
    </row>
    <row r="9" spans="1:18">
      <c r="A9" s="35"/>
      <c r="B9" s="35" t="str">
        <f>'3 FY22 Annual Budget'!B9</f>
        <v>Per Pupil Facilities Allowance</v>
      </c>
      <c r="C9" s="66">
        <f>'3 FY22 Annual Budget'!Y9</f>
        <v>1414320</v>
      </c>
      <c r="D9" s="66" t="s">
        <v>224</v>
      </c>
      <c r="E9" s="69">
        <f t="shared" si="1"/>
        <v>0</v>
      </c>
      <c r="F9" s="69">
        <f t="shared" si="2"/>
        <v>1</v>
      </c>
      <c r="G9" s="66">
        <f t="shared" si="3"/>
        <v>0</v>
      </c>
      <c r="H9" s="66">
        <f t="shared" si="4"/>
        <v>1414320</v>
      </c>
      <c r="I9" s="66">
        <f t="shared" si="5"/>
        <v>3408</v>
      </c>
      <c r="J9" s="66">
        <f t="shared" si="6"/>
        <v>1396331.8653427467</v>
      </c>
      <c r="K9" s="66">
        <f t="shared" si="6"/>
        <v>1813056</v>
      </c>
      <c r="M9" s="66" t="s">
        <v>237</v>
      </c>
      <c r="N9" s="69">
        <v>0.4</v>
      </c>
      <c r="O9" s="69">
        <f t="shared" si="0"/>
        <v>0.6</v>
      </c>
      <c r="Q9" s="66" t="s">
        <v>238</v>
      </c>
      <c r="R9" s="76" t="str">
        <f>IF(R8&gt;R7,"No","Yes")</f>
        <v>No</v>
      </c>
    </row>
    <row r="10" spans="1:18">
      <c r="A10" s="35"/>
      <c r="B10" s="35" t="str">
        <f>'3 FY22 Annual Budget'!B10</f>
        <v>Federal Funding</v>
      </c>
      <c r="C10" s="66">
        <f>'3 FY22 Annual Budget'!Y10</f>
        <v>0</v>
      </c>
      <c r="D10" s="66" t="s">
        <v>224</v>
      </c>
      <c r="E10" s="69">
        <f t="shared" si="1"/>
        <v>0</v>
      </c>
      <c r="F10" s="69">
        <f t="shared" si="2"/>
        <v>1</v>
      </c>
      <c r="G10" s="77">
        <f>C16-C12-C15-C54/0.009</f>
        <v>-0.10763888899236917</v>
      </c>
      <c r="H10" s="66">
        <f>C10-G10</f>
        <v>0.10763888899236917</v>
      </c>
      <c r="I10" s="66">
        <f t="shared" si="5"/>
        <v>2.5937081684908233E-4</v>
      </c>
      <c r="J10" s="66">
        <f t="shared" si="6"/>
        <v>-1.3690132569375291E-3</v>
      </c>
      <c r="K10" s="66">
        <f t="shared" si="6"/>
        <v>3.0346385571342616E-2</v>
      </c>
      <c r="M10" s="66" t="s">
        <v>239</v>
      </c>
      <c r="N10" s="69">
        <v>0.5</v>
      </c>
      <c r="O10" s="69">
        <f t="shared" si="0"/>
        <v>0.5</v>
      </c>
    </row>
    <row r="11" spans="1:18">
      <c r="A11" s="35"/>
      <c r="B11" s="35" t="str">
        <f>'3 FY22 Annual Budget'!B11</f>
        <v>Other Government Funding/Grants</v>
      </c>
      <c r="C11" s="66">
        <f>'3 FY22 Annual Budget'!Y11</f>
        <v>1148660</v>
      </c>
      <c r="D11" s="66" t="s">
        <v>223</v>
      </c>
      <c r="E11" s="69">
        <f t="shared" si="1"/>
        <v>1</v>
      </c>
      <c r="F11" s="69">
        <f t="shared" si="2"/>
        <v>0</v>
      </c>
      <c r="G11" s="66">
        <f t="shared" si="3"/>
        <v>1148660</v>
      </c>
      <c r="H11" s="66">
        <f t="shared" si="4"/>
        <v>0</v>
      </c>
      <c r="I11" s="66">
        <f t="shared" si="5"/>
        <v>0</v>
      </c>
      <c r="J11" s="66">
        <f t="shared" si="6"/>
        <v>1148660</v>
      </c>
      <c r="K11" s="66">
        <f t="shared" si="6"/>
        <v>1148660</v>
      </c>
      <c r="M11" s="66" t="s">
        <v>240</v>
      </c>
    </row>
    <row r="12" spans="1:18">
      <c r="A12" s="35"/>
      <c r="B12" s="35" t="str">
        <f>'3 FY22 Annual Budget'!B12</f>
        <v>Private Grants and Donations</v>
      </c>
      <c r="C12" s="66">
        <f>'3 FY22 Annual Budget'!Y12</f>
        <v>1029999.9999999998</v>
      </c>
      <c r="D12" s="66" t="s">
        <v>223</v>
      </c>
      <c r="E12" s="69">
        <f t="shared" si="1"/>
        <v>1</v>
      </c>
      <c r="F12" s="69">
        <f t="shared" si="2"/>
        <v>0</v>
      </c>
      <c r="G12" s="66">
        <f t="shared" si="3"/>
        <v>1029999.9999999998</v>
      </c>
      <c r="H12" s="66">
        <f t="shared" si="4"/>
        <v>0</v>
      </c>
      <c r="I12" s="66">
        <f t="shared" si="5"/>
        <v>0</v>
      </c>
      <c r="J12" s="66">
        <f t="shared" si="6"/>
        <v>1029999.9999999998</v>
      </c>
      <c r="K12" s="66">
        <f t="shared" si="6"/>
        <v>1029999.9999999998</v>
      </c>
    </row>
    <row r="13" spans="1:18">
      <c r="A13" s="35"/>
      <c r="B13" s="35" t="str">
        <f>'3 FY22 Annual Budget'!B13</f>
        <v>Activity Fees</v>
      </c>
      <c r="C13" s="66">
        <f>'3 FY22 Annual Budget'!Y13</f>
        <v>0</v>
      </c>
      <c r="D13" s="66" t="s">
        <v>224</v>
      </c>
      <c r="E13" s="69">
        <f t="shared" si="1"/>
        <v>0</v>
      </c>
      <c r="F13" s="69">
        <f t="shared" si="2"/>
        <v>1</v>
      </c>
      <c r="G13" s="66">
        <f t="shared" si="3"/>
        <v>0</v>
      </c>
      <c r="H13" s="66">
        <f t="shared" si="4"/>
        <v>0</v>
      </c>
      <c r="I13" s="66">
        <f t="shared" si="5"/>
        <v>0</v>
      </c>
      <c r="J13" s="66">
        <f t="shared" si="6"/>
        <v>0</v>
      </c>
      <c r="K13" s="66">
        <f t="shared" si="6"/>
        <v>0</v>
      </c>
    </row>
    <row r="14" spans="1:18">
      <c r="A14" s="35"/>
      <c r="B14" s="35" t="str">
        <f>'3 FY22 Annual Budget'!B14</f>
        <v>In-kind revenue</v>
      </c>
      <c r="C14" s="66">
        <f>'3 FY22 Annual Budget'!Y14</f>
        <v>0</v>
      </c>
      <c r="D14" s="66" t="s">
        <v>224</v>
      </c>
      <c r="E14" s="69">
        <f t="shared" si="1"/>
        <v>0</v>
      </c>
      <c r="F14" s="69">
        <f t="shared" si="2"/>
        <v>1</v>
      </c>
      <c r="G14" s="66">
        <f t="shared" si="3"/>
        <v>0</v>
      </c>
      <c r="H14" s="66">
        <f t="shared" si="4"/>
        <v>0</v>
      </c>
      <c r="I14" s="66">
        <f t="shared" si="5"/>
        <v>0</v>
      </c>
      <c r="J14" s="66">
        <f t="shared" si="6"/>
        <v>0</v>
      </c>
      <c r="K14" s="66">
        <f t="shared" si="6"/>
        <v>0</v>
      </c>
      <c r="R14" s="78"/>
    </row>
    <row r="15" spans="1:18">
      <c r="A15" s="35"/>
      <c r="B15" s="35" t="str">
        <f>'3 FY22 Annual Budget'!B15</f>
        <v>Other Income</v>
      </c>
      <c r="C15" s="66">
        <f>'3 FY22 Annual Budget'!Y15</f>
        <v>0</v>
      </c>
      <c r="D15" s="66" t="s">
        <v>223</v>
      </c>
      <c r="E15" s="69">
        <f t="shared" si="1"/>
        <v>1</v>
      </c>
      <c r="F15" s="69">
        <f t="shared" si="2"/>
        <v>0</v>
      </c>
      <c r="G15" s="66">
        <f t="shared" si="3"/>
        <v>0</v>
      </c>
      <c r="H15" s="66">
        <f t="shared" si="4"/>
        <v>0</v>
      </c>
      <c r="I15" s="66">
        <f t="shared" si="5"/>
        <v>0</v>
      </c>
      <c r="J15" s="66">
        <f t="shared" si="6"/>
        <v>0</v>
      </c>
      <c r="K15" s="66">
        <f t="shared" si="6"/>
        <v>0</v>
      </c>
    </row>
    <row r="16" spans="1:18">
      <c r="A16" s="35"/>
      <c r="B16" s="43" t="str">
        <f>'3 FY22 Annual Budget'!B16</f>
        <v>TOTAL REVENUES</v>
      </c>
      <c r="C16" s="79">
        <f>SUM(C7:C15)</f>
        <v>7920713</v>
      </c>
      <c r="G16" s="79">
        <f t="shared" ref="G16:K16" si="7">SUM(G7:G15)</f>
        <v>2178659.892361111</v>
      </c>
      <c r="H16" s="79">
        <f t="shared" si="7"/>
        <v>5742053.107638889</v>
      </c>
      <c r="I16" s="79">
        <f t="shared" si="7"/>
        <v>13836.272548527444</v>
      </c>
      <c r="J16" s="79">
        <f>SUM(J7:J15)</f>
        <v>7847682.2682636818</v>
      </c>
      <c r="K16" s="79">
        <f t="shared" si="7"/>
        <v>9539556.8881777115</v>
      </c>
    </row>
    <row r="17" spans="1:11">
      <c r="A17" s="35"/>
      <c r="B17" s="34"/>
    </row>
    <row r="18" spans="1:11">
      <c r="A18" s="34" t="str">
        <f>'3 FY22 Annual Budget'!A18</f>
        <v>FUNCTIONAL EXPENSES</v>
      </c>
      <c r="B18" s="35"/>
    </row>
    <row r="19" spans="1:11">
      <c r="A19" s="48" t="str">
        <f>'3 FY22 Annual Budget'!A19</f>
        <v>Personnel Salaries and Benefits</v>
      </c>
      <c r="B19" s="35"/>
    </row>
    <row r="20" spans="1:11">
      <c r="A20" s="35"/>
      <c r="B20" s="35" t="str">
        <f>'3 FY22 Annual Budget'!B20</f>
        <v>Principal/Executive Salary</v>
      </c>
      <c r="C20" s="66">
        <f>'3 FY22 Annual Budget'!Y20</f>
        <v>275400</v>
      </c>
      <c r="D20" s="66" t="s">
        <v>223</v>
      </c>
      <c r="E20" s="69">
        <f t="shared" ref="E20:E26" si="8">VLOOKUP($D20,$M$6:$O$11,2,FALSE)</f>
        <v>1</v>
      </c>
      <c r="F20" s="69">
        <f t="shared" ref="F20:F26" si="9">VLOOKUP($D20,$M$6:$O$11,3,FALSE)</f>
        <v>0</v>
      </c>
      <c r="G20" s="66">
        <f t="shared" si="3"/>
        <v>275400</v>
      </c>
      <c r="H20" s="66">
        <f t="shared" si="4"/>
        <v>0</v>
      </c>
      <c r="I20" s="66">
        <f t="shared" si="5"/>
        <v>0</v>
      </c>
      <c r="J20" s="66">
        <f t="shared" ref="J20:K26" si="10">$I20*J$1+$G20</f>
        <v>275400</v>
      </c>
      <c r="K20" s="66">
        <f t="shared" si="10"/>
        <v>275400</v>
      </c>
    </row>
    <row r="21" spans="1:11">
      <c r="A21" s="35"/>
      <c r="B21" s="35" t="str">
        <f>'3 FY22 Annual Budget'!B21</f>
        <v>Teachers Salaries</v>
      </c>
      <c r="C21" s="66">
        <f>'3 FY22 Annual Budget'!Y21</f>
        <v>1475958.9375</v>
      </c>
      <c r="D21" s="66" t="s">
        <v>235</v>
      </c>
      <c r="E21" s="69">
        <f t="shared" si="8"/>
        <v>0.7</v>
      </c>
      <c r="F21" s="69">
        <f t="shared" si="9"/>
        <v>0.30000000000000004</v>
      </c>
      <c r="G21" s="66">
        <f t="shared" si="3"/>
        <v>1033171.25625</v>
      </c>
      <c r="H21" s="66">
        <f t="shared" si="4"/>
        <v>442787.68125000002</v>
      </c>
      <c r="I21" s="66">
        <f t="shared" si="5"/>
        <v>1066.9582680722892</v>
      </c>
      <c r="J21" s="66">
        <f t="shared" si="10"/>
        <v>1470327.3092723726</v>
      </c>
      <c r="K21" s="66">
        <f t="shared" si="10"/>
        <v>1600793.0548644578</v>
      </c>
    </row>
    <row r="22" spans="1:11">
      <c r="A22" s="35"/>
      <c r="B22" s="35" t="str">
        <f>'3 FY22 Annual Budget'!B22</f>
        <v>Special Education Salaries</v>
      </c>
      <c r="C22" s="66">
        <f>'3 FY22 Annual Budget'!Y22</f>
        <v>0</v>
      </c>
      <c r="D22" s="66" t="s">
        <v>235</v>
      </c>
      <c r="E22" s="69">
        <f t="shared" si="8"/>
        <v>0.7</v>
      </c>
      <c r="F22" s="69">
        <f t="shared" si="9"/>
        <v>0.30000000000000004</v>
      </c>
      <c r="G22" s="66">
        <f t="shared" si="3"/>
        <v>0</v>
      </c>
      <c r="H22" s="66">
        <f t="shared" si="4"/>
        <v>0</v>
      </c>
      <c r="I22" s="66">
        <f t="shared" si="5"/>
        <v>0</v>
      </c>
      <c r="J22" s="66">
        <f t="shared" si="10"/>
        <v>0</v>
      </c>
      <c r="K22" s="66">
        <f t="shared" si="10"/>
        <v>0</v>
      </c>
    </row>
    <row r="23" spans="1:11">
      <c r="A23" s="35"/>
      <c r="B23" s="35" t="str">
        <f>'3 FY22 Annual Budget'!B23</f>
        <v>Other Education Professionals Salaries</v>
      </c>
      <c r="C23" s="66">
        <f>'3 FY22 Annual Budget'!Y23</f>
        <v>594570.28125</v>
      </c>
      <c r="D23" s="66" t="s">
        <v>235</v>
      </c>
      <c r="E23" s="69">
        <f t="shared" si="8"/>
        <v>0.7</v>
      </c>
      <c r="F23" s="69">
        <f t="shared" si="9"/>
        <v>0.30000000000000004</v>
      </c>
      <c r="G23" s="66">
        <f t="shared" si="3"/>
        <v>416199.19687499997</v>
      </c>
      <c r="H23" s="66">
        <f t="shared" si="4"/>
        <v>178371.08437500003</v>
      </c>
      <c r="I23" s="66">
        <f t="shared" si="5"/>
        <v>429.80984186746997</v>
      </c>
      <c r="J23" s="66">
        <f t="shared" si="10"/>
        <v>592301.65527801495</v>
      </c>
      <c r="K23" s="66">
        <f t="shared" si="10"/>
        <v>644858.03274849395</v>
      </c>
    </row>
    <row r="24" spans="1:11">
      <c r="A24" s="35"/>
      <c r="B24" s="35" t="str">
        <f>'3 FY22 Annual Budget'!B24</f>
        <v>Business/Operations Salaries</v>
      </c>
      <c r="C24" s="66">
        <f>'3 FY22 Annual Budget'!Y24</f>
        <v>931767.99999999988</v>
      </c>
      <c r="D24" s="66" t="s">
        <v>235</v>
      </c>
      <c r="E24" s="69">
        <f t="shared" si="8"/>
        <v>0.7</v>
      </c>
      <c r="F24" s="69">
        <f t="shared" si="9"/>
        <v>0.30000000000000004</v>
      </c>
      <c r="G24" s="66">
        <f t="shared" si="3"/>
        <v>652237.59999999986</v>
      </c>
      <c r="H24" s="66">
        <f t="shared" si="4"/>
        <v>279530.40000000002</v>
      </c>
      <c r="I24" s="66">
        <f t="shared" si="5"/>
        <v>673.56722891566267</v>
      </c>
      <c r="J24" s="66">
        <f t="shared" si="10"/>
        <v>928212.77170937555</v>
      </c>
      <c r="K24" s="66">
        <f t="shared" si="10"/>
        <v>1010575.3657831324</v>
      </c>
    </row>
    <row r="25" spans="1:11">
      <c r="A25" s="35"/>
      <c r="B25" s="35" t="str">
        <f>'3 FY22 Annual Budget'!B25</f>
        <v>Administrative/Other Staff Salaries</v>
      </c>
      <c r="C25" s="66">
        <f>'3 FY22 Annual Budget'!Y25</f>
        <v>895206</v>
      </c>
      <c r="D25" s="66" t="s">
        <v>223</v>
      </c>
      <c r="E25" s="69">
        <f t="shared" si="8"/>
        <v>1</v>
      </c>
      <c r="F25" s="69">
        <f t="shared" si="9"/>
        <v>0</v>
      </c>
      <c r="G25" s="66">
        <f t="shared" si="3"/>
        <v>895206</v>
      </c>
      <c r="H25" s="66">
        <f t="shared" si="4"/>
        <v>0</v>
      </c>
      <c r="I25" s="66">
        <f t="shared" si="5"/>
        <v>0</v>
      </c>
      <c r="J25" s="66">
        <f t="shared" si="10"/>
        <v>895206</v>
      </c>
      <c r="K25" s="66">
        <f t="shared" si="10"/>
        <v>895206</v>
      </c>
    </row>
    <row r="26" spans="1:11">
      <c r="A26" s="35"/>
      <c r="B26" s="35" t="str">
        <f>'3 FY22 Annual Budget'!B26</f>
        <v>Employee Benefits and Payroll Taxes</v>
      </c>
      <c r="C26" s="66">
        <f>'3 FY22 Annual Budget'!Y26</f>
        <v>934764.62304687512</v>
      </c>
      <c r="D26" s="66" t="s">
        <v>235</v>
      </c>
      <c r="E26" s="69">
        <f t="shared" si="8"/>
        <v>0.7</v>
      </c>
      <c r="F26" s="69">
        <f t="shared" si="9"/>
        <v>0.30000000000000004</v>
      </c>
      <c r="G26" s="66">
        <f t="shared" si="3"/>
        <v>654335.23613281257</v>
      </c>
      <c r="H26" s="66">
        <f t="shared" si="4"/>
        <v>280429.38691406255</v>
      </c>
      <c r="I26" s="66">
        <f t="shared" si="5"/>
        <v>675.73346244352422</v>
      </c>
      <c r="J26" s="66">
        <f t="shared" si="10"/>
        <v>931197.96092397417</v>
      </c>
      <c r="K26" s="66">
        <f t="shared" si="10"/>
        <v>1013825.4381527675</v>
      </c>
    </row>
    <row r="27" spans="1:11">
      <c r="A27" s="35"/>
      <c r="B27" s="43" t="str">
        <f>'3 FY22 Annual Budget'!B27</f>
        <v>Subtotal: Personnel Expense</v>
      </c>
      <c r="C27" s="79">
        <f>SUM(C19:C26)</f>
        <v>5107667.841796875</v>
      </c>
      <c r="G27" s="79">
        <f t="shared" ref="G27:K27" si="11">SUM(G19:G26)</f>
        <v>3926549.2892578123</v>
      </c>
      <c r="H27" s="79">
        <f t="shared" si="11"/>
        <v>1181118.5525390627</v>
      </c>
      <c r="I27" s="79">
        <f t="shared" si="11"/>
        <v>2846.0688012989463</v>
      </c>
      <c r="J27" s="79">
        <f>SUM(J19:J26)</f>
        <v>5092645.6971837375</v>
      </c>
      <c r="K27" s="79">
        <f t="shared" si="11"/>
        <v>5440657.8915488515</v>
      </c>
    </row>
    <row r="28" spans="1:11">
      <c r="A28" s="35"/>
      <c r="B28" s="35"/>
    </row>
    <row r="29" spans="1:11">
      <c r="A29" s="48" t="str">
        <f>'3 FY22 Annual Budget'!A29</f>
        <v>Direct Student Expense</v>
      </c>
      <c r="B29" s="35"/>
    </row>
    <row r="30" spans="1:11">
      <c r="A30" s="35"/>
      <c r="B30" s="35" t="str">
        <f>'3 FY22 Annual Budget'!B30</f>
        <v>Educational Supplies and Textbooks</v>
      </c>
      <c r="C30" s="66">
        <f>'3 FY22 Annual Budget'!Y30</f>
        <v>46785</v>
      </c>
      <c r="D30" s="66" t="s">
        <v>224</v>
      </c>
      <c r="E30" s="69">
        <f t="shared" ref="E30:E34" si="12">VLOOKUP($D30,$M$6:$O$11,2,FALSE)</f>
        <v>0</v>
      </c>
      <c r="F30" s="69">
        <f t="shared" ref="F30:F34" si="13">VLOOKUP($D30,$M$6:$O$11,3,FALSE)</f>
        <v>1</v>
      </c>
      <c r="G30" s="66">
        <f t="shared" si="3"/>
        <v>0</v>
      </c>
      <c r="H30" s="66">
        <f t="shared" si="4"/>
        <v>46785</v>
      </c>
      <c r="I30" s="66">
        <f t="shared" si="5"/>
        <v>112.73493975903614</v>
      </c>
      <c r="J30" s="66">
        <f>$I30*J$1+$G30</f>
        <v>46189.96147976441</v>
      </c>
      <c r="K30" s="66">
        <f t="shared" ref="K30:K34" si="14">$I30*K$1+$G30</f>
        <v>59974.987951807227</v>
      </c>
    </row>
    <row r="31" spans="1:11">
      <c r="A31" s="35"/>
      <c r="B31" s="35" t="str">
        <f>'3 FY22 Annual Budget'!B31</f>
        <v>Student Assessment Materials/Program Evaluation</v>
      </c>
      <c r="C31" s="66">
        <f>'3 FY22 Annual Budget'!Y31</f>
        <v>44875</v>
      </c>
      <c r="D31" s="66" t="s">
        <v>224</v>
      </c>
      <c r="E31" s="69">
        <f t="shared" si="12"/>
        <v>0</v>
      </c>
      <c r="F31" s="69">
        <f t="shared" si="13"/>
        <v>1</v>
      </c>
      <c r="G31" s="66">
        <f t="shared" si="3"/>
        <v>0</v>
      </c>
      <c r="H31" s="66">
        <f t="shared" si="4"/>
        <v>44875</v>
      </c>
      <c r="I31" s="66">
        <f t="shared" si="5"/>
        <v>108.13253012048193</v>
      </c>
      <c r="J31" s="66">
        <f>$I31*J$1+$G31</f>
        <v>44304.253957559646</v>
      </c>
      <c r="K31" s="66">
        <f t="shared" si="14"/>
        <v>57526.506024096387</v>
      </c>
    </row>
    <row r="32" spans="1:11">
      <c r="A32" s="35"/>
      <c r="B32" s="35" t="str">
        <f>'3 FY22 Annual Budget'!B32</f>
        <v>Contracted Student Services</v>
      </c>
      <c r="C32" s="66">
        <f>'3 FY22 Annual Budget'!Y32</f>
        <v>353590.00000000006</v>
      </c>
      <c r="D32" s="66" t="s">
        <v>237</v>
      </c>
      <c r="E32" s="69">
        <f t="shared" si="12"/>
        <v>0.4</v>
      </c>
      <c r="F32" s="69">
        <f t="shared" si="13"/>
        <v>0.6</v>
      </c>
      <c r="G32" s="66">
        <f t="shared" si="3"/>
        <v>141436.00000000003</v>
      </c>
      <c r="H32" s="66">
        <f t="shared" si="4"/>
        <v>212154.00000000003</v>
      </c>
      <c r="I32" s="66">
        <f t="shared" si="5"/>
        <v>511.21445783132538</v>
      </c>
      <c r="J32" s="66">
        <f>$I32*J$1+$G32</f>
        <v>350891.70348996349</v>
      </c>
      <c r="K32" s="66">
        <f t="shared" si="14"/>
        <v>413402.0915662651</v>
      </c>
    </row>
    <row r="33" spans="1:11">
      <c r="A33" s="35"/>
      <c r="B33" s="35" t="str">
        <f>'3 FY22 Annual Budget'!B33</f>
        <v>Food Service</v>
      </c>
      <c r="C33" s="66">
        <f>'3 FY22 Annual Budget'!Y33</f>
        <v>0</v>
      </c>
      <c r="D33" s="66" t="s">
        <v>224</v>
      </c>
      <c r="E33" s="69">
        <f t="shared" si="12"/>
        <v>0</v>
      </c>
      <c r="F33" s="69">
        <f t="shared" si="13"/>
        <v>1</v>
      </c>
      <c r="G33" s="66">
        <f t="shared" si="3"/>
        <v>0</v>
      </c>
      <c r="H33" s="66">
        <f t="shared" si="4"/>
        <v>0</v>
      </c>
      <c r="I33" s="66">
        <f t="shared" si="5"/>
        <v>0</v>
      </c>
      <c r="J33" s="66">
        <f>$I33*J$1+$G33</f>
        <v>0</v>
      </c>
      <c r="K33" s="66">
        <f t="shared" si="14"/>
        <v>0</v>
      </c>
    </row>
    <row r="34" spans="1:11">
      <c r="A34" s="35"/>
      <c r="B34" s="35" t="str">
        <f>'3 FY22 Annual Budget'!B34</f>
        <v>Other Direct Student Expense</v>
      </c>
      <c r="C34" s="66">
        <f>'3 FY22 Annual Budget'!Y34</f>
        <v>101915.3984375</v>
      </c>
      <c r="D34" s="66" t="s">
        <v>237</v>
      </c>
      <c r="E34" s="69">
        <f t="shared" si="12"/>
        <v>0.4</v>
      </c>
      <c r="F34" s="69">
        <f t="shared" si="13"/>
        <v>0.6</v>
      </c>
      <c r="G34" s="66">
        <f t="shared" si="3"/>
        <v>40766.159375000003</v>
      </c>
      <c r="H34" s="66">
        <f t="shared" si="4"/>
        <v>61149.239062499997</v>
      </c>
      <c r="I34" s="66">
        <f t="shared" si="5"/>
        <v>147.3475640060241</v>
      </c>
      <c r="J34" s="66">
        <f>$I34*J$1+$G34</f>
        <v>101137.66726885017</v>
      </c>
      <c r="K34" s="66">
        <f t="shared" si="14"/>
        <v>119155.06342620483</v>
      </c>
    </row>
    <row r="35" spans="1:11">
      <c r="A35" s="35"/>
      <c r="B35" s="43" t="str">
        <f>'3 FY22 Annual Budget'!B35</f>
        <v>Subtotal: Direct Student Expense</v>
      </c>
      <c r="C35" s="79">
        <f>SUM(C30:C34)</f>
        <v>547165.3984375</v>
      </c>
      <c r="G35" s="79">
        <f t="shared" ref="G35:K35" si="15">SUM(G30:G34)</f>
        <v>182202.15937500005</v>
      </c>
      <c r="H35" s="79">
        <f t="shared" si="15"/>
        <v>364963.23906250001</v>
      </c>
      <c r="I35" s="79">
        <f t="shared" si="15"/>
        <v>879.42949171686757</v>
      </c>
      <c r="J35" s="79">
        <f>SUM(J30:J34)</f>
        <v>542523.58619613771</v>
      </c>
      <c r="K35" s="79">
        <f t="shared" si="15"/>
        <v>650058.64896837354</v>
      </c>
    </row>
    <row r="36" spans="1:11">
      <c r="A36" s="34"/>
      <c r="B36" s="34"/>
    </row>
    <row r="37" spans="1:11">
      <c r="A37" s="48" t="str">
        <f>'3 FY22 Annual Budget'!A37</f>
        <v>Occupancy Expenses</v>
      </c>
      <c r="B37" s="35"/>
    </row>
    <row r="38" spans="1:11">
      <c r="A38" s="35"/>
      <c r="B38" s="35" t="str">
        <f>'3 FY22 Annual Budget'!B38</f>
        <v>Rent</v>
      </c>
      <c r="C38" s="66">
        <f>'3 FY22 Annual Budget'!Y38</f>
        <v>307323.71875</v>
      </c>
      <c r="D38" s="80" t="s">
        <v>223</v>
      </c>
      <c r="E38" s="69">
        <f t="shared" ref="E38:E43" si="16">VLOOKUP($D38,$M$6:$O$11,2,FALSE)</f>
        <v>1</v>
      </c>
      <c r="F38" s="69">
        <f t="shared" ref="F38:F43" si="17">VLOOKUP($D38,$M$6:$O$11,3,FALSE)</f>
        <v>0</v>
      </c>
      <c r="G38" s="66">
        <f t="shared" si="3"/>
        <v>307323.71875</v>
      </c>
      <c r="H38" s="66">
        <f t="shared" si="4"/>
        <v>0</v>
      </c>
      <c r="I38" s="66">
        <f t="shared" si="5"/>
        <v>0</v>
      </c>
      <c r="J38" s="66">
        <f t="shared" ref="J38:K43" si="18">$I38*J$1+$G38</f>
        <v>307323.71875</v>
      </c>
      <c r="K38" s="66">
        <f t="shared" si="18"/>
        <v>307323.71875</v>
      </c>
    </row>
    <row r="39" spans="1:11">
      <c r="A39" s="35"/>
      <c r="B39" s="35" t="str">
        <f>'3 FY22 Annual Budget'!B39</f>
        <v>Depreciation (facilities only)</v>
      </c>
      <c r="C39" s="66">
        <f>'3 FY22 Annual Budget'!Y39</f>
        <v>190150.50048828125</v>
      </c>
      <c r="D39" s="66" t="s">
        <v>223</v>
      </c>
      <c r="E39" s="69">
        <f t="shared" si="16"/>
        <v>1</v>
      </c>
      <c r="F39" s="69">
        <f t="shared" si="17"/>
        <v>0</v>
      </c>
      <c r="G39" s="66">
        <f t="shared" si="3"/>
        <v>190150.50048828125</v>
      </c>
      <c r="H39" s="66">
        <f t="shared" si="4"/>
        <v>0</v>
      </c>
      <c r="I39" s="66">
        <f t="shared" si="5"/>
        <v>0</v>
      </c>
      <c r="J39" s="66">
        <f t="shared" si="18"/>
        <v>190150.50048828125</v>
      </c>
      <c r="K39" s="66">
        <f t="shared" si="18"/>
        <v>190150.50048828125</v>
      </c>
    </row>
    <row r="40" spans="1:11">
      <c r="A40" s="35"/>
      <c r="B40" s="35" t="str">
        <f>'3 FY22 Annual Budget'!B40</f>
        <v>Interest (facilities only)</v>
      </c>
      <c r="C40" s="66">
        <f>'3 FY22 Annual Budget'!Y40</f>
        <v>149735.38168334961</v>
      </c>
      <c r="D40" s="66" t="s">
        <v>223</v>
      </c>
      <c r="E40" s="69">
        <f t="shared" si="16"/>
        <v>1</v>
      </c>
      <c r="F40" s="69">
        <f t="shared" si="17"/>
        <v>0</v>
      </c>
      <c r="G40" s="66">
        <f t="shared" si="3"/>
        <v>149735.38168334961</v>
      </c>
      <c r="H40" s="66">
        <f t="shared" si="4"/>
        <v>0</v>
      </c>
      <c r="I40" s="66">
        <f t="shared" si="5"/>
        <v>0</v>
      </c>
      <c r="J40" s="66">
        <f t="shared" si="18"/>
        <v>149735.38168334961</v>
      </c>
      <c r="K40" s="66">
        <f t="shared" si="18"/>
        <v>149735.38168334961</v>
      </c>
    </row>
    <row r="41" spans="1:11">
      <c r="A41" s="35"/>
      <c r="B41" s="35" t="str">
        <f>'3 FY22 Annual Budget'!B41</f>
        <v>Building Maintenance and Repairs</v>
      </c>
      <c r="C41" s="66">
        <f>'3 FY22 Annual Budget'!Y41</f>
        <v>32000</v>
      </c>
      <c r="D41" s="66" t="s">
        <v>223</v>
      </c>
      <c r="E41" s="69">
        <f t="shared" si="16"/>
        <v>1</v>
      </c>
      <c r="F41" s="69">
        <f t="shared" si="17"/>
        <v>0</v>
      </c>
      <c r="G41" s="66">
        <f t="shared" si="3"/>
        <v>32000</v>
      </c>
      <c r="H41" s="66">
        <f t="shared" si="4"/>
        <v>0</v>
      </c>
      <c r="I41" s="66">
        <f t="shared" si="5"/>
        <v>0</v>
      </c>
      <c r="J41" s="66">
        <f t="shared" si="18"/>
        <v>32000</v>
      </c>
      <c r="K41" s="66">
        <f t="shared" si="18"/>
        <v>32000</v>
      </c>
    </row>
    <row r="42" spans="1:11">
      <c r="A42" s="35"/>
      <c r="B42" s="35" t="str">
        <f>'3 FY22 Annual Budget'!B42</f>
        <v>Contracted Building Services</v>
      </c>
      <c r="C42" s="66">
        <f>'3 FY22 Annual Budget'!Y42</f>
        <v>321208.5</v>
      </c>
      <c r="D42" s="66" t="s">
        <v>224</v>
      </c>
      <c r="E42" s="69">
        <f t="shared" si="16"/>
        <v>0</v>
      </c>
      <c r="F42" s="69">
        <f t="shared" si="17"/>
        <v>1</v>
      </c>
      <c r="G42" s="66">
        <f t="shared" si="3"/>
        <v>0</v>
      </c>
      <c r="H42" s="66">
        <f t="shared" si="4"/>
        <v>321208.5</v>
      </c>
      <c r="I42" s="66">
        <f t="shared" si="5"/>
        <v>773.9963855421687</v>
      </c>
      <c r="J42" s="66">
        <f t="shared" si="18"/>
        <v>317123.1856785916</v>
      </c>
      <c r="K42" s="66">
        <f t="shared" si="18"/>
        <v>411766.07710843376</v>
      </c>
    </row>
    <row r="43" spans="1:11">
      <c r="A43" s="35"/>
      <c r="B43" s="35" t="str">
        <f>'3 FY22 Annual Budget'!B43</f>
        <v>Other Occupancy Expenses</v>
      </c>
      <c r="C43" s="66">
        <f>'3 FY22 Annual Budget'!Y43</f>
        <v>140000</v>
      </c>
      <c r="D43" s="66" t="s">
        <v>223</v>
      </c>
      <c r="E43" s="69">
        <f t="shared" si="16"/>
        <v>1</v>
      </c>
      <c r="F43" s="69">
        <f t="shared" si="17"/>
        <v>0</v>
      </c>
      <c r="G43" s="66">
        <f t="shared" si="3"/>
        <v>140000</v>
      </c>
      <c r="H43" s="66">
        <f t="shared" si="4"/>
        <v>0</v>
      </c>
      <c r="I43" s="66">
        <f t="shared" si="5"/>
        <v>0</v>
      </c>
      <c r="J43" s="66">
        <f t="shared" si="18"/>
        <v>140000</v>
      </c>
      <c r="K43" s="66">
        <f t="shared" si="18"/>
        <v>140000</v>
      </c>
    </row>
    <row r="44" spans="1:11">
      <c r="A44" s="35"/>
      <c r="B44" s="43" t="str">
        <f>'3 FY22 Annual Budget'!B44</f>
        <v>Subtotal: Occupancy Expenses</v>
      </c>
      <c r="C44" s="79">
        <f>SUM(C38:C43)</f>
        <v>1140418.1009216309</v>
      </c>
      <c r="G44" s="79">
        <f t="shared" ref="G44:K44" si="19">SUM(G38:G43)</f>
        <v>819209.60092163086</v>
      </c>
      <c r="H44" s="79">
        <f t="shared" si="19"/>
        <v>321208.5</v>
      </c>
      <c r="I44" s="79">
        <f t="shared" si="19"/>
        <v>773.9963855421687</v>
      </c>
      <c r="J44" s="79">
        <f>SUM(J38:J43)</f>
        <v>1136332.7866002223</v>
      </c>
      <c r="K44" s="79">
        <f t="shared" si="19"/>
        <v>1230975.6780300646</v>
      </c>
    </row>
    <row r="45" spans="1:11">
      <c r="A45" s="35"/>
      <c r="B45" s="34"/>
    </row>
    <row r="46" spans="1:11">
      <c r="A46" s="48" t="str">
        <f>'3 FY22 Annual Budget'!A46</f>
        <v>General and Administrative Expenses</v>
      </c>
      <c r="B46" s="35"/>
    </row>
    <row r="47" spans="1:11">
      <c r="A47" s="35"/>
      <c r="B47" s="35" t="str">
        <f>'3 FY22 Annual Budget'!B47</f>
        <v>Office Supplies and Materials</v>
      </c>
      <c r="C47" s="66">
        <f>'3 FY22 Annual Budget'!Y47</f>
        <v>20000</v>
      </c>
      <c r="D47" s="66" t="s">
        <v>224</v>
      </c>
      <c r="E47" s="69">
        <f t="shared" ref="E47:E58" si="20">VLOOKUP($D47,$M$6:$O$11,2,FALSE)</f>
        <v>0</v>
      </c>
      <c r="F47" s="69">
        <f t="shared" ref="F47:F58" si="21">VLOOKUP($D47,$M$6:$O$11,3,FALSE)</f>
        <v>1</v>
      </c>
      <c r="G47" s="66">
        <f t="shared" si="3"/>
        <v>0</v>
      </c>
      <c r="H47" s="66">
        <f t="shared" si="4"/>
        <v>20000</v>
      </c>
      <c r="I47" s="66">
        <f t="shared" si="5"/>
        <v>48.192771084337352</v>
      </c>
      <c r="J47" s="66">
        <f t="shared" ref="J47:K58" si="22">$I47*J$1+$G47</f>
        <v>19745.62850476196</v>
      </c>
      <c r="K47" s="66">
        <f t="shared" si="22"/>
        <v>25638.554216867473</v>
      </c>
    </row>
    <row r="48" spans="1:11">
      <c r="A48" s="35"/>
      <c r="B48" s="35" t="str">
        <f>'3 FY22 Annual Budget'!B48</f>
        <v>Office Equipment Rental and Maintenance</v>
      </c>
      <c r="C48" s="66">
        <f>'3 FY22 Annual Budget'!Y48</f>
        <v>9000.2998046875</v>
      </c>
      <c r="D48" s="66" t="s">
        <v>224</v>
      </c>
      <c r="E48" s="69">
        <f t="shared" si="20"/>
        <v>0</v>
      </c>
      <c r="F48" s="69">
        <f t="shared" si="21"/>
        <v>1</v>
      </c>
      <c r="G48" s="66">
        <f t="shared" si="3"/>
        <v>0</v>
      </c>
      <c r="H48" s="66">
        <f t="shared" si="4"/>
        <v>9000.2998046875</v>
      </c>
      <c r="I48" s="66">
        <f t="shared" si="5"/>
        <v>21.687469408885541</v>
      </c>
      <c r="J48" s="66">
        <f t="shared" si="22"/>
        <v>8885.8288187420494</v>
      </c>
      <c r="K48" s="66">
        <f t="shared" si="22"/>
        <v>11537.733725527107</v>
      </c>
    </row>
    <row r="49" spans="1:11">
      <c r="A49" s="35"/>
      <c r="B49" s="35" t="str">
        <f>'3 FY22 Annual Budget'!B49</f>
        <v>Telephone/Telecommunications</v>
      </c>
      <c r="C49" s="66">
        <f>'3 FY22 Annual Budget'!Y49</f>
        <v>75178.101562499985</v>
      </c>
      <c r="D49" s="66" t="s">
        <v>224</v>
      </c>
      <c r="E49" s="69">
        <f t="shared" si="20"/>
        <v>0</v>
      </c>
      <c r="F49" s="69">
        <f t="shared" si="21"/>
        <v>1</v>
      </c>
      <c r="G49" s="66">
        <f t="shared" si="3"/>
        <v>0</v>
      </c>
      <c r="H49" s="66">
        <f t="shared" si="4"/>
        <v>75178.101562499985</v>
      </c>
      <c r="I49" s="66">
        <f t="shared" si="5"/>
        <v>181.1520519578313</v>
      </c>
      <c r="J49" s="66">
        <f t="shared" si="22"/>
        <v>74221.943257319464</v>
      </c>
      <c r="K49" s="66">
        <f t="shared" si="22"/>
        <v>96372.891641566253</v>
      </c>
    </row>
    <row r="50" spans="1:11">
      <c r="A50" s="35"/>
      <c r="B50" s="35" t="str">
        <f>'3 FY22 Annual Budget'!B50</f>
        <v>Legal, Accounting and Payroll Services</v>
      </c>
      <c r="C50" s="66">
        <f>'3 FY22 Annual Budget'!Y50</f>
        <v>118962.01562499999</v>
      </c>
      <c r="D50" s="66" t="s">
        <v>239</v>
      </c>
      <c r="E50" s="69">
        <f t="shared" si="20"/>
        <v>0.5</v>
      </c>
      <c r="F50" s="69">
        <f t="shared" si="21"/>
        <v>0.5</v>
      </c>
      <c r="G50" s="66">
        <f t="shared" si="3"/>
        <v>59481.007812499993</v>
      </c>
      <c r="H50" s="66">
        <f t="shared" si="4"/>
        <v>59481.007812499993</v>
      </c>
      <c r="I50" s="66">
        <f t="shared" si="5"/>
        <v>143.32772966867469</v>
      </c>
      <c r="J50" s="66">
        <f t="shared" si="22"/>
        <v>118205.50198022343</v>
      </c>
      <c r="K50" s="66">
        <f t="shared" si="22"/>
        <v>135731.35999623494</v>
      </c>
    </row>
    <row r="51" spans="1:11">
      <c r="A51" s="35"/>
      <c r="B51" s="35" t="str">
        <f>'3 FY22 Annual Budget'!B51</f>
        <v>Insurance</v>
      </c>
      <c r="C51" s="66">
        <f>'3 FY22 Annual Budget'!Y51</f>
        <v>30596.980468749996</v>
      </c>
      <c r="D51" s="66" t="s">
        <v>224</v>
      </c>
      <c r="E51" s="69">
        <f t="shared" si="20"/>
        <v>0</v>
      </c>
      <c r="F51" s="69">
        <f t="shared" si="21"/>
        <v>1</v>
      </c>
      <c r="G51" s="66">
        <f t="shared" si="3"/>
        <v>0</v>
      </c>
      <c r="H51" s="66">
        <f t="shared" si="4"/>
        <v>30596.980468749996</v>
      </c>
      <c r="I51" s="66">
        <f t="shared" si="5"/>
        <v>73.72766378012048</v>
      </c>
      <c r="J51" s="66">
        <f t="shared" si="22"/>
        <v>30207.830485169743</v>
      </c>
      <c r="K51" s="66">
        <f t="shared" si="22"/>
        <v>39223.117131024097</v>
      </c>
    </row>
    <row r="52" spans="1:11">
      <c r="A52" s="35"/>
      <c r="B52" s="35" t="str">
        <f>'3 FY22 Annual Budget'!B52</f>
        <v>Transportation</v>
      </c>
      <c r="C52" s="66">
        <f>'3 FY22 Annual Budget'!Y52</f>
        <v>0</v>
      </c>
      <c r="D52" s="66" t="s">
        <v>224</v>
      </c>
      <c r="E52" s="69">
        <f t="shared" si="20"/>
        <v>0</v>
      </c>
      <c r="F52" s="69">
        <f t="shared" si="21"/>
        <v>1</v>
      </c>
      <c r="G52" s="66">
        <f t="shared" si="3"/>
        <v>0</v>
      </c>
      <c r="H52" s="66">
        <f t="shared" si="4"/>
        <v>0</v>
      </c>
      <c r="I52" s="66">
        <f t="shared" si="5"/>
        <v>0</v>
      </c>
      <c r="J52" s="66">
        <f t="shared" si="22"/>
        <v>0</v>
      </c>
      <c r="K52" s="66">
        <f t="shared" si="22"/>
        <v>0</v>
      </c>
    </row>
    <row r="53" spans="1:11">
      <c r="A53" s="35"/>
      <c r="B53" s="35" t="str">
        <f>'3 FY22 Annual Budget'!B53</f>
        <v>Professional Development</v>
      </c>
      <c r="C53" s="66">
        <f>'3 FY22 Annual Budget'!Y53</f>
        <v>27909.999999999996</v>
      </c>
      <c r="D53" s="66" t="s">
        <v>224</v>
      </c>
      <c r="E53" s="69">
        <f t="shared" si="20"/>
        <v>0</v>
      </c>
      <c r="F53" s="69">
        <f t="shared" si="21"/>
        <v>1</v>
      </c>
      <c r="G53" s="66">
        <f t="shared" si="3"/>
        <v>0</v>
      </c>
      <c r="H53" s="66">
        <f t="shared" si="4"/>
        <v>27909.999999999996</v>
      </c>
      <c r="I53" s="66">
        <f t="shared" si="5"/>
        <v>67.253012048192758</v>
      </c>
      <c r="J53" s="66">
        <f t="shared" si="22"/>
        <v>27555.024578395307</v>
      </c>
      <c r="K53" s="66">
        <f t="shared" si="22"/>
        <v>35778.602409638544</v>
      </c>
    </row>
    <row r="54" spans="1:11">
      <c r="A54" s="35"/>
      <c r="B54" s="35" t="str">
        <f>'3 FY22 Annual Budget'!B54</f>
        <v>PCSB Administrative Fee</v>
      </c>
      <c r="C54" s="66">
        <f>'3 FY22 Annual Budget'!Y54</f>
        <v>62016.417968749993</v>
      </c>
      <c r="D54" s="66" t="s">
        <v>240</v>
      </c>
      <c r="E54" s="69">
        <f t="shared" si="20"/>
        <v>0</v>
      </c>
      <c r="F54" s="69">
        <f t="shared" si="21"/>
        <v>0</v>
      </c>
      <c r="G54" s="77">
        <f>(G16-G10-G12-G15)*0.009</f>
        <v>10337.94</v>
      </c>
      <c r="H54" s="66">
        <f t="shared" si="4"/>
        <v>51678.47796874999</v>
      </c>
      <c r="I54" s="66">
        <f t="shared" si="5"/>
        <v>124.52645293674696</v>
      </c>
      <c r="J54" s="66">
        <f t="shared" si="22"/>
        <v>61359.141383123133</v>
      </c>
      <c r="K54" s="66">
        <f t="shared" si="22"/>
        <v>76586.012962349385</v>
      </c>
    </row>
    <row r="55" spans="1:11">
      <c r="A55" s="35"/>
      <c r="B55" s="35" t="str">
        <f>'3 FY22 Annual Budget'!B55</f>
        <v>Management Fee</v>
      </c>
      <c r="C55" s="66">
        <f>'3 FY22 Annual Budget'!Y55</f>
        <v>0</v>
      </c>
      <c r="D55" s="66" t="s">
        <v>224</v>
      </c>
      <c r="E55" s="69">
        <f t="shared" si="20"/>
        <v>0</v>
      </c>
      <c r="F55" s="69">
        <f t="shared" si="21"/>
        <v>1</v>
      </c>
      <c r="G55" s="66">
        <f t="shared" si="3"/>
        <v>0</v>
      </c>
      <c r="H55" s="66">
        <f t="shared" si="4"/>
        <v>0</v>
      </c>
      <c r="I55" s="66">
        <f t="shared" si="5"/>
        <v>0</v>
      </c>
      <c r="J55" s="66">
        <f t="shared" si="22"/>
        <v>0</v>
      </c>
      <c r="K55" s="66">
        <f t="shared" si="22"/>
        <v>0</v>
      </c>
    </row>
    <row r="56" spans="1:11">
      <c r="A56" s="35"/>
      <c r="B56" s="35" t="str">
        <f>'3 FY22 Annual Budget'!B56</f>
        <v>Interest Expense (non-facility)</v>
      </c>
      <c r="C56" s="66">
        <f>'3 FY22 Annual Budget'!Y56</f>
        <v>0</v>
      </c>
      <c r="D56" s="66" t="s">
        <v>224</v>
      </c>
      <c r="E56" s="69">
        <f t="shared" si="20"/>
        <v>0</v>
      </c>
      <c r="F56" s="69">
        <f t="shared" si="21"/>
        <v>1</v>
      </c>
      <c r="G56" s="66">
        <f t="shared" si="3"/>
        <v>0</v>
      </c>
      <c r="H56" s="66">
        <f t="shared" si="4"/>
        <v>0</v>
      </c>
      <c r="I56" s="66">
        <f t="shared" si="5"/>
        <v>0</v>
      </c>
      <c r="J56" s="66">
        <f t="shared" si="22"/>
        <v>0</v>
      </c>
      <c r="K56" s="66">
        <f t="shared" si="22"/>
        <v>0</v>
      </c>
    </row>
    <row r="57" spans="1:11">
      <c r="A57" s="35"/>
      <c r="B57" s="35" t="str">
        <f>'3 FY22 Annual Budget'!B57</f>
        <v>Depreciation and Amortization (non-facility)</v>
      </c>
      <c r="C57" s="66">
        <f>'3 FY22 Annual Budget'!Y57</f>
        <v>326316.78125</v>
      </c>
      <c r="D57" s="66" t="s">
        <v>224</v>
      </c>
      <c r="E57" s="69">
        <f t="shared" si="20"/>
        <v>0</v>
      </c>
      <c r="F57" s="69">
        <f t="shared" si="21"/>
        <v>1</v>
      </c>
      <c r="G57" s="66">
        <f t="shared" si="3"/>
        <v>0</v>
      </c>
      <c r="H57" s="66">
        <f t="shared" si="4"/>
        <v>326316.78125</v>
      </c>
      <c r="I57" s="66">
        <f t="shared" si="5"/>
        <v>786.30549698795176</v>
      </c>
      <c r="J57" s="66">
        <f t="shared" si="22"/>
        <v>322166.4968716086</v>
      </c>
      <c r="K57" s="66">
        <f t="shared" si="22"/>
        <v>418314.52439759031</v>
      </c>
    </row>
    <row r="58" spans="1:11">
      <c r="A58" s="35"/>
      <c r="B58" s="35" t="str">
        <f>'3 FY22 Annual Budget'!B58</f>
        <v>Other General Expense</v>
      </c>
      <c r="C58" s="66">
        <f>'3 FY22 Annual Budget'!Y58</f>
        <v>419163.97070312494</v>
      </c>
      <c r="D58" s="66" t="s">
        <v>224</v>
      </c>
      <c r="E58" s="69">
        <f t="shared" si="20"/>
        <v>0</v>
      </c>
      <c r="F58" s="69">
        <f t="shared" si="21"/>
        <v>1</v>
      </c>
      <c r="G58" s="66">
        <f t="shared" si="3"/>
        <v>0</v>
      </c>
      <c r="H58" s="66">
        <f t="shared" si="4"/>
        <v>419163.97070312494</v>
      </c>
      <c r="I58" s="66">
        <f t="shared" si="5"/>
        <v>1010.0336643448794</v>
      </c>
      <c r="J58" s="66">
        <f t="shared" si="22"/>
        <v>413832.80240424152</v>
      </c>
      <c r="K58" s="66">
        <f t="shared" si="22"/>
        <v>537337.9094314758</v>
      </c>
    </row>
    <row r="59" spans="1:11">
      <c r="A59" s="35"/>
      <c r="B59" s="43" t="str">
        <f>'3 FY22 Annual Budget'!B59</f>
        <v>Subtotal: General Expenses</v>
      </c>
      <c r="C59" s="79">
        <f>SUM(C47:C58)</f>
        <v>1089144.5673828125</v>
      </c>
      <c r="G59" s="79">
        <f t="shared" ref="G59:K59" si="23">SUM(G47:G58)</f>
        <v>69818.947812499988</v>
      </c>
      <c r="H59" s="79">
        <f t="shared" si="23"/>
        <v>1019325.6195703123</v>
      </c>
      <c r="I59" s="79">
        <f t="shared" si="23"/>
        <v>2456.2063122176205</v>
      </c>
      <c r="J59" s="79">
        <f>SUM(J47:J58)</f>
        <v>1076180.1982835853</v>
      </c>
      <c r="K59" s="79">
        <f t="shared" si="23"/>
        <v>1376520.7059122738</v>
      </c>
    </row>
    <row r="60" spans="1:11">
      <c r="A60" s="35"/>
      <c r="B60" s="34"/>
    </row>
    <row r="61" spans="1:11">
      <c r="A61" s="35"/>
      <c r="B61" s="43" t="str">
        <f>'3 FY22 Annual Budget'!B61</f>
        <v>TOTAL EXPENSES</v>
      </c>
      <c r="C61" s="81">
        <f>C27+C35+C44+C59</f>
        <v>7884395.9085388184</v>
      </c>
      <c r="G61" s="81">
        <f t="shared" ref="G61:K61" si="24">G27+G35+G44+G59</f>
        <v>4997779.9973669434</v>
      </c>
      <c r="H61" s="81">
        <f t="shared" si="24"/>
        <v>2886615.911171875</v>
      </c>
      <c r="I61" s="81">
        <f t="shared" si="24"/>
        <v>6955.7009907756028</v>
      </c>
      <c r="J61" s="81">
        <f t="shared" si="24"/>
        <v>7847682.2682636827</v>
      </c>
      <c r="K61" s="81">
        <f t="shared" si="24"/>
        <v>8698212.9244595636</v>
      </c>
    </row>
    <row r="62" spans="1:11">
      <c r="A62" s="34" t="str">
        <f>'3 FY22 Annual Budget'!A62</f>
        <v>OPERATING INCOME (LOSS)</v>
      </c>
      <c r="B62" s="43"/>
      <c r="C62" s="81">
        <f>C16-C61</f>
        <v>36317.091461181641</v>
      </c>
      <c r="G62" s="81">
        <f t="shared" ref="G62:K62" si="25">G16-G61</f>
        <v>-2819120.1050058324</v>
      </c>
      <c r="H62" s="81">
        <f t="shared" si="25"/>
        <v>2855437.196467014</v>
      </c>
      <c r="I62" s="81">
        <f t="shared" si="25"/>
        <v>6880.5715577518413</v>
      </c>
      <c r="J62" s="81">
        <f>J16-J61</f>
        <v>0</v>
      </c>
      <c r="K62" s="81">
        <f t="shared" si="25"/>
        <v>841343.96371814795</v>
      </c>
    </row>
    <row r="63" spans="1:11">
      <c r="A63" s="34"/>
      <c r="B63" s="34"/>
    </row>
    <row r="64" spans="1:11" ht="16" thickBot="1">
      <c r="A64" s="34" t="str">
        <f>'3 FY22 Annual Budget'!A64</f>
        <v>CHANGE IN NET ASSETS</v>
      </c>
      <c r="B64" s="43"/>
      <c r="C64" s="82">
        <f>C62</f>
        <v>36317.091461181641</v>
      </c>
      <c r="G64" s="82">
        <f t="shared" ref="G64:K64" si="26">G62</f>
        <v>-2819120.1050058324</v>
      </c>
      <c r="H64" s="82">
        <f t="shared" si="26"/>
        <v>2855437.196467014</v>
      </c>
      <c r="I64" s="82">
        <f t="shared" si="26"/>
        <v>6880.5715577518413</v>
      </c>
      <c r="J64" s="82">
        <f t="shared" si="26"/>
        <v>0</v>
      </c>
      <c r="K64" s="82">
        <f t="shared" si="26"/>
        <v>841343.96371814795</v>
      </c>
    </row>
    <row r="65" spans="1:11" ht="16" thickTop="1">
      <c r="A65" s="83"/>
      <c r="B65" s="83"/>
    </row>
    <row r="66" spans="1:11">
      <c r="A66" s="83"/>
      <c r="B66" s="35" t="s">
        <v>241</v>
      </c>
      <c r="C66" s="81">
        <f>C61-C39-C57</f>
        <v>7367928.6268005371</v>
      </c>
      <c r="J66" s="81">
        <f t="shared" ref="J66:K66" si="27">J61-J39-J57</f>
        <v>7335365.2709037932</v>
      </c>
      <c r="K66" s="81">
        <f t="shared" si="27"/>
        <v>8089747.8995736921</v>
      </c>
    </row>
    <row r="67" spans="1:11">
      <c r="A67" s="83"/>
      <c r="B67" s="35" t="s">
        <v>242</v>
      </c>
      <c r="C67" s="66">
        <f>C16-C66</f>
        <v>552784.37319946289</v>
      </c>
      <c r="J67" s="66">
        <f>J16-J66</f>
        <v>512316.99735988863</v>
      </c>
      <c r="K67" s="66">
        <f>K16-K66</f>
        <v>1449808.9886040194</v>
      </c>
    </row>
    <row r="68" spans="1:11">
      <c r="A68" s="83"/>
      <c r="B68" s="35" t="s">
        <v>243</v>
      </c>
      <c r="C68" s="84"/>
      <c r="J68" s="81">
        <f t="shared" ref="J68:K70" si="28">$C68</f>
        <v>0</v>
      </c>
      <c r="K68" s="81">
        <f t="shared" si="28"/>
        <v>0</v>
      </c>
    </row>
    <row r="69" spans="1:11">
      <c r="A69" s="83"/>
      <c r="B69" s="35" t="s">
        <v>244</v>
      </c>
      <c r="C69" s="80">
        <f>SUM(C67:C68)</f>
        <v>552784.37319946289</v>
      </c>
      <c r="J69" s="85">
        <f>SUM(J67:J68)</f>
        <v>512316.99735988863</v>
      </c>
      <c r="K69" s="80">
        <f>SUM(K67:K68)</f>
        <v>1449808.9886040194</v>
      </c>
    </row>
    <row r="70" spans="1:11">
      <c r="A70" s="83"/>
      <c r="B70" s="35" t="s">
        <v>245</v>
      </c>
      <c r="C70" s="84"/>
      <c r="J70" s="81">
        <f t="shared" si="28"/>
        <v>0</v>
      </c>
      <c r="K70" s="81">
        <f t="shared" si="28"/>
        <v>0</v>
      </c>
    </row>
    <row r="71" spans="1:11">
      <c r="A71" s="83"/>
      <c r="B71" s="35" t="s">
        <v>246</v>
      </c>
      <c r="C71" s="81">
        <f>C69+C70</f>
        <v>552784.37319946289</v>
      </c>
      <c r="J71" s="79">
        <f>J69+J70</f>
        <v>512316.99735988863</v>
      </c>
      <c r="K71" s="79">
        <f>K69+K70</f>
        <v>1449808.9886040194</v>
      </c>
    </row>
    <row r="72" spans="1:11" ht="16" thickBot="1">
      <c r="A72" s="83"/>
      <c r="B72" s="34" t="s">
        <v>247</v>
      </c>
      <c r="C72" s="86">
        <f>C71/(C66/365)</f>
        <v>27.384398850429598</v>
      </c>
      <c r="J72" s="86">
        <f>J71/(J66/365)</f>
        <v>25.492350705163936</v>
      </c>
      <c r="K72" s="87">
        <f>K71/(K66/365)</f>
        <v>65.413692417825956</v>
      </c>
    </row>
    <row r="73" spans="1:11" ht="16" thickTop="1">
      <c r="A73" s="83"/>
      <c r="B73" s="35"/>
    </row>
    <row r="74" spans="1:11">
      <c r="A74" s="83"/>
      <c r="B74" s="35" t="s">
        <v>248</v>
      </c>
      <c r="C74" s="84"/>
      <c r="J74" s="66">
        <f>$C74</f>
        <v>0</v>
      </c>
      <c r="K74" s="66">
        <f>$C74</f>
        <v>0</v>
      </c>
    </row>
    <row r="75" spans="1:11" ht="16" thickBot="1">
      <c r="A75" s="83"/>
      <c r="B75" s="34" t="s">
        <v>249</v>
      </c>
      <c r="C75" s="82">
        <f>C69+C74</f>
        <v>552784.37319946289</v>
      </c>
      <c r="J75" s="86">
        <f>J69+J74</f>
        <v>512316.99735988863</v>
      </c>
      <c r="K75" s="87">
        <f>K69+K74</f>
        <v>1449808.9886040194</v>
      </c>
    </row>
    <row r="76" spans="1:11" ht="16" thickTop="1"/>
    <row r="79" spans="1:11">
      <c r="C79" s="66" t="s">
        <v>250</v>
      </c>
    </row>
    <row r="80" spans="1:11">
      <c r="C80" s="66">
        <f>D80-SUM(C7:C9)-C13-C10</f>
        <v>1148660.107638889</v>
      </c>
      <c r="D80" s="66">
        <f>C54/0.009</f>
        <v>6890713.107638889</v>
      </c>
    </row>
  </sheetData>
  <mergeCells count="2">
    <mergeCell ref="C3:I3"/>
    <mergeCell ref="Q5:R5"/>
  </mergeCells>
  <conditionalFormatting sqref="C68 C70 C74 K1">
    <cfRule type="containsBlanks" dxfId="2" priority="6">
      <formula>LEN(TRIM(C1))=0</formula>
    </cfRule>
  </conditionalFormatting>
  <conditionalFormatting sqref="R9">
    <cfRule type="containsText" dxfId="1" priority="4" operator="containsText" text="No">
      <formula>NOT(ISERROR(SEARCH("No",R9)))</formula>
    </cfRule>
    <cfRule type="containsText" dxfId="0" priority="5" operator="containsText" text="Yes">
      <formula>NOT(ISERROR(SEARCH("Yes",R9)))</formula>
    </cfRule>
  </conditionalFormatting>
  <dataValidations count="2">
    <dataValidation type="list" allowBlank="1" showInputMessage="1" showErrorMessage="1" sqref="D7:D15 D30:D34 D20:D26 D38:D43 D47:D58" xr:uid="{844B5C35-A350-2D4D-84D7-0193EF09DC73}">
      <formula1>Variability</formula1>
    </dataValidation>
    <dataValidation type="list" allowBlank="1" showInputMessage="1" showErrorMessage="1" sqref="D44:D46 D35:D37 D27:D29 D16:D19" xr:uid="{DF7BAC01-A4BA-FA43-89CA-0E32147DE045}">
      <formula1>"Fixed,Hybrid,Variable"</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7A171-6859-3A4C-A52F-1C87ACC2E29F}">
  <sheetPr codeName="Sheet8"/>
  <dimension ref="A1:B74"/>
  <sheetViews>
    <sheetView workbookViewId="0"/>
  </sheetViews>
  <sheetFormatPr baseColWidth="10" defaultColWidth="10.83203125" defaultRowHeight="15"/>
  <cols>
    <col min="1" max="1" width="65.33203125" style="62" bestFit="1" customWidth="1"/>
    <col min="2" max="2" width="9.83203125" style="62" bestFit="1" customWidth="1"/>
    <col min="3" max="16384" width="10.83203125" style="62"/>
  </cols>
  <sheetData>
    <row r="1" spans="1:2">
      <c r="A1" s="62" t="s">
        <v>205</v>
      </c>
      <c r="B1" s="62" t="s">
        <v>204</v>
      </c>
    </row>
    <row r="2" spans="1:2">
      <c r="A2" s="62" t="s">
        <v>203</v>
      </c>
      <c r="B2" s="62">
        <v>178</v>
      </c>
    </row>
    <row r="3" spans="1:2">
      <c r="A3" s="62" t="s">
        <v>202</v>
      </c>
      <c r="B3" s="62">
        <v>155</v>
      </c>
    </row>
    <row r="4" spans="1:2">
      <c r="A4" s="62" t="s">
        <v>201</v>
      </c>
      <c r="B4" s="62">
        <v>103</v>
      </c>
    </row>
    <row r="5" spans="1:2">
      <c r="A5" s="62" t="s">
        <v>200</v>
      </c>
      <c r="B5" s="62">
        <v>168</v>
      </c>
    </row>
    <row r="6" spans="1:2">
      <c r="A6" s="62" t="s">
        <v>199</v>
      </c>
      <c r="B6" s="62">
        <v>189</v>
      </c>
    </row>
    <row r="7" spans="1:2">
      <c r="A7" s="62" t="s">
        <v>198</v>
      </c>
      <c r="B7" s="62">
        <v>107</v>
      </c>
    </row>
    <row r="8" spans="1:2">
      <c r="A8" s="62" t="s">
        <v>197</v>
      </c>
      <c r="B8" s="62">
        <v>119</v>
      </c>
    </row>
    <row r="9" spans="1:2">
      <c r="A9" s="62" t="s">
        <v>196</v>
      </c>
      <c r="B9" s="62">
        <v>108</v>
      </c>
    </row>
    <row r="10" spans="1:2">
      <c r="A10" s="62" t="s">
        <v>195</v>
      </c>
      <c r="B10" s="62">
        <v>334</v>
      </c>
    </row>
    <row r="11" spans="1:2">
      <c r="A11" s="62" t="s">
        <v>194</v>
      </c>
      <c r="B11" s="62">
        <v>162</v>
      </c>
    </row>
    <row r="12" spans="1:2">
      <c r="A12" s="62" t="s">
        <v>193</v>
      </c>
      <c r="B12" s="62">
        <v>123</v>
      </c>
    </row>
    <row r="13" spans="1:2">
      <c r="A13" s="62" t="s">
        <v>192</v>
      </c>
      <c r="B13" s="62">
        <v>156</v>
      </c>
    </row>
    <row r="14" spans="1:2">
      <c r="A14" s="62" t="s">
        <v>191</v>
      </c>
      <c r="B14" s="62">
        <v>109</v>
      </c>
    </row>
    <row r="15" spans="1:2">
      <c r="A15" s="62" t="s">
        <v>190</v>
      </c>
      <c r="B15" s="62">
        <v>153</v>
      </c>
    </row>
    <row r="16" spans="1:2">
      <c r="A16" s="62" t="s">
        <v>189</v>
      </c>
      <c r="B16" s="62">
        <v>176</v>
      </c>
    </row>
    <row r="17" spans="1:2">
      <c r="A17" s="62" t="s">
        <v>188</v>
      </c>
      <c r="B17" s="62">
        <v>169</v>
      </c>
    </row>
    <row r="18" spans="1:2">
      <c r="A18" s="62" t="s">
        <v>187</v>
      </c>
      <c r="B18" s="62">
        <v>114</v>
      </c>
    </row>
    <row r="19" spans="1:2">
      <c r="A19" s="62" t="s">
        <v>186</v>
      </c>
      <c r="B19" s="62">
        <v>115</v>
      </c>
    </row>
    <row r="20" spans="1:2">
      <c r="A20" s="62" t="s">
        <v>185</v>
      </c>
      <c r="B20" s="62">
        <v>170</v>
      </c>
    </row>
    <row r="21" spans="1:2">
      <c r="A21" s="62" t="s">
        <v>184</v>
      </c>
      <c r="B21" s="62">
        <v>179</v>
      </c>
    </row>
    <row r="22" spans="1:2">
      <c r="A22" s="62" t="s">
        <v>183</v>
      </c>
      <c r="B22" s="62">
        <v>317</v>
      </c>
    </row>
    <row r="23" spans="1:2">
      <c r="A23" s="62" t="s">
        <v>182</v>
      </c>
      <c r="B23" s="62">
        <v>181</v>
      </c>
    </row>
    <row r="24" spans="1:2">
      <c r="A24" s="62" t="s">
        <v>181</v>
      </c>
      <c r="B24" s="62">
        <v>116</v>
      </c>
    </row>
    <row r="25" spans="1:2">
      <c r="A25" s="62" t="s">
        <v>180</v>
      </c>
      <c r="B25" s="62">
        <v>117</v>
      </c>
    </row>
    <row r="26" spans="1:2">
      <c r="A26" s="62" t="s">
        <v>179</v>
      </c>
      <c r="B26" s="62">
        <v>118</v>
      </c>
    </row>
    <row r="27" spans="1:2">
      <c r="A27" s="62" t="s">
        <v>178</v>
      </c>
      <c r="B27" s="62">
        <v>144</v>
      </c>
    </row>
    <row r="28" spans="1:2">
      <c r="A28" s="62" t="s">
        <v>177</v>
      </c>
      <c r="B28" s="62">
        <v>120</v>
      </c>
    </row>
    <row r="29" spans="1:2">
      <c r="A29" s="62" t="s">
        <v>176</v>
      </c>
      <c r="B29" s="62">
        <v>340</v>
      </c>
    </row>
    <row r="30" spans="1:2">
      <c r="A30" s="62" t="s">
        <v>175</v>
      </c>
      <c r="B30" s="62">
        <v>333</v>
      </c>
    </row>
    <row r="31" spans="1:2">
      <c r="A31" s="62" t="s">
        <v>174</v>
      </c>
      <c r="B31" s="62">
        <v>190</v>
      </c>
    </row>
    <row r="32" spans="1:2">
      <c r="A32" s="62" t="s">
        <v>173</v>
      </c>
      <c r="B32" s="62">
        <v>180</v>
      </c>
    </row>
    <row r="33" spans="1:2">
      <c r="A33" s="62" t="s">
        <v>172</v>
      </c>
      <c r="B33" s="62">
        <v>121</v>
      </c>
    </row>
    <row r="34" spans="1:2">
      <c r="A34" s="62" t="s">
        <v>171</v>
      </c>
      <c r="B34" s="62">
        <v>124</v>
      </c>
    </row>
    <row r="35" spans="1:2">
      <c r="A35" s="62" t="s">
        <v>170</v>
      </c>
      <c r="B35" s="62">
        <v>345</v>
      </c>
    </row>
    <row r="36" spans="1:2">
      <c r="A36" s="62" t="s">
        <v>169</v>
      </c>
      <c r="B36" s="62">
        <v>126</v>
      </c>
    </row>
    <row r="37" spans="1:2">
      <c r="A37" s="62" t="s">
        <v>168</v>
      </c>
      <c r="B37" s="62">
        <v>127</v>
      </c>
    </row>
    <row r="38" spans="1:2">
      <c r="A38" s="62" t="s">
        <v>167</v>
      </c>
      <c r="B38" s="62">
        <v>173</v>
      </c>
    </row>
    <row r="39" spans="1:2">
      <c r="A39" s="62" t="s">
        <v>166</v>
      </c>
      <c r="B39" s="62">
        <v>165</v>
      </c>
    </row>
    <row r="40" spans="1:2">
      <c r="A40" s="62" t="s">
        <v>165</v>
      </c>
      <c r="B40" s="62">
        <v>186</v>
      </c>
    </row>
    <row r="41" spans="1:2">
      <c r="A41" s="62" t="s">
        <v>164</v>
      </c>
      <c r="B41" s="62">
        <v>129</v>
      </c>
    </row>
    <row r="42" spans="1:2">
      <c r="A42" s="62" t="s">
        <v>163</v>
      </c>
      <c r="B42" s="62">
        <v>130</v>
      </c>
    </row>
    <row r="43" spans="1:2">
      <c r="A43" s="62" t="s">
        <v>162</v>
      </c>
      <c r="B43" s="62">
        <v>172</v>
      </c>
    </row>
    <row r="44" spans="1:2">
      <c r="A44" s="62" t="s">
        <v>161</v>
      </c>
      <c r="B44" s="62">
        <v>885</v>
      </c>
    </row>
    <row r="45" spans="1:2">
      <c r="A45" s="62" t="s">
        <v>160</v>
      </c>
      <c r="B45" s="62">
        <v>177</v>
      </c>
    </row>
    <row r="46" spans="1:2">
      <c r="A46" s="62" t="s">
        <v>159</v>
      </c>
      <c r="B46" s="62">
        <v>132</v>
      </c>
    </row>
    <row r="47" spans="1:2">
      <c r="A47" s="62" t="s">
        <v>158</v>
      </c>
      <c r="B47" s="62">
        <v>133</v>
      </c>
    </row>
    <row r="48" spans="1:2">
      <c r="A48" s="62" t="s">
        <v>157</v>
      </c>
      <c r="B48" s="62">
        <v>135</v>
      </c>
    </row>
    <row r="49" spans="1:2">
      <c r="A49" s="62" t="s">
        <v>156</v>
      </c>
      <c r="B49" s="62">
        <v>184</v>
      </c>
    </row>
    <row r="50" spans="1:2">
      <c r="A50" s="62" t="s">
        <v>155</v>
      </c>
      <c r="B50" s="62">
        <v>171</v>
      </c>
    </row>
    <row r="51" spans="1:2">
      <c r="A51" s="62" t="s">
        <v>154</v>
      </c>
      <c r="B51" s="62">
        <v>163</v>
      </c>
    </row>
    <row r="52" spans="1:2">
      <c r="A52" s="62" t="s">
        <v>153</v>
      </c>
      <c r="B52" s="62">
        <v>138</v>
      </c>
    </row>
    <row r="53" spans="1:2">
      <c r="A53" s="62" t="s">
        <v>152</v>
      </c>
      <c r="B53" s="62">
        <v>125</v>
      </c>
    </row>
    <row r="54" spans="1:2">
      <c r="A54" s="62" t="s">
        <v>151</v>
      </c>
      <c r="B54" s="62">
        <v>167</v>
      </c>
    </row>
    <row r="55" spans="1:2">
      <c r="A55" s="62" t="s">
        <v>150</v>
      </c>
      <c r="B55" s="62">
        <v>191</v>
      </c>
    </row>
    <row r="56" spans="1:2">
      <c r="A56" s="62" t="s">
        <v>149</v>
      </c>
      <c r="B56" s="62">
        <v>140</v>
      </c>
    </row>
    <row r="57" spans="1:2">
      <c r="A57" s="62" t="s">
        <v>148</v>
      </c>
      <c r="B57" s="62">
        <v>142</v>
      </c>
    </row>
    <row r="58" spans="1:2">
      <c r="A58" s="62" t="s">
        <v>147</v>
      </c>
      <c r="B58" s="62">
        <v>174</v>
      </c>
    </row>
    <row r="59" spans="1:2">
      <c r="A59" s="62" t="s">
        <v>146</v>
      </c>
      <c r="B59" s="62">
        <v>166</v>
      </c>
    </row>
    <row r="60" spans="1:2">
      <c r="A60" s="62" t="s">
        <v>145</v>
      </c>
      <c r="B60" s="62">
        <v>350</v>
      </c>
    </row>
    <row r="61" spans="1:2">
      <c r="A61" s="62" t="s">
        <v>144</v>
      </c>
      <c r="B61" s="62">
        <v>175</v>
      </c>
    </row>
    <row r="62" spans="1:2">
      <c r="A62" s="62" t="s">
        <v>143</v>
      </c>
      <c r="B62" s="62">
        <v>143</v>
      </c>
    </row>
    <row r="63" spans="1:2">
      <c r="A63" s="62" t="s">
        <v>142</v>
      </c>
      <c r="B63" s="62">
        <v>314</v>
      </c>
    </row>
    <row r="64" spans="1:2">
      <c r="A64" s="62" t="s">
        <v>141</v>
      </c>
      <c r="B64" s="62">
        <v>188</v>
      </c>
    </row>
    <row r="65" spans="1:2">
      <c r="A65" s="62" t="s">
        <v>140</v>
      </c>
      <c r="B65" s="62">
        <v>303</v>
      </c>
    </row>
    <row r="66" spans="1:2">
      <c r="A66" s="62" t="s">
        <v>139</v>
      </c>
      <c r="B66" s="62">
        <v>145</v>
      </c>
    </row>
    <row r="67" spans="1:2">
      <c r="A67" s="62" t="s">
        <v>138</v>
      </c>
      <c r="B67" s="62">
        <v>323</v>
      </c>
    </row>
    <row r="68" spans="1:2">
      <c r="A68" s="62" t="s">
        <v>137</v>
      </c>
      <c r="B68" s="62">
        <v>146</v>
      </c>
    </row>
    <row r="69" spans="1:2">
      <c r="A69" s="62" t="s">
        <v>136</v>
      </c>
      <c r="B69" s="62">
        <v>149</v>
      </c>
    </row>
    <row r="70" spans="1:2">
      <c r="A70" s="62" t="s">
        <v>135</v>
      </c>
      <c r="B70" s="62">
        <v>185</v>
      </c>
    </row>
    <row r="71" spans="1:2">
      <c r="A71" s="62" t="s">
        <v>134</v>
      </c>
      <c r="B71" s="62">
        <v>151</v>
      </c>
    </row>
    <row r="72" spans="1:2">
      <c r="A72" s="62" t="s">
        <v>133</v>
      </c>
      <c r="B72" s="62">
        <v>194</v>
      </c>
    </row>
    <row r="73" spans="1:2">
      <c r="A73" s="62" t="s">
        <v>132</v>
      </c>
      <c r="B73" s="62">
        <v>160</v>
      </c>
    </row>
    <row r="74" spans="1:2">
      <c r="A74" s="62" t="s">
        <v>131</v>
      </c>
      <c r="B74" s="62">
        <v>131</v>
      </c>
    </row>
  </sheetData>
  <sheetProtection algorithmName="SHA-512" hashValue="pw7xRfAHRy3smT+rbZz4IvdS9dgtXSYk2swtgRZeyyJM+FKkVhtzDURzzOFs/WGVgzlg1Uw3TXJIcNfL8i8VVg==" saltValue="BxBkDPkHou0oFjWoWcETw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Instructions - Read First</vt:lpstr>
      <vt:lpstr>2 Enrollments</vt:lpstr>
      <vt:lpstr>3 FY22 Annual Budget</vt:lpstr>
      <vt:lpstr>FY22 Pro Forma Estimate</vt:lpstr>
      <vt:lpstr>LEA List</vt:lpstr>
      <vt:lpstr>'FY22 Pro Forma Estimate'!LEA_Name</vt:lpstr>
      <vt:lpstr>LEA_Name</vt:lpstr>
      <vt:lpstr>'1 Instructions - Read First'!Print_Area</vt:lpstr>
      <vt:lpstr>'3 FY22 Annual Budget'!Print_Area</vt:lpstr>
      <vt:lpstr>Variability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Kupferberg</dc:creator>
  <cp:lastModifiedBy>Mike Bayuk</cp:lastModifiedBy>
  <cp:lastPrinted>2016-11-10T20:34:43Z</cp:lastPrinted>
  <dcterms:created xsi:type="dcterms:W3CDTF">2015-03-09T19:17:40Z</dcterms:created>
  <dcterms:modified xsi:type="dcterms:W3CDTF">2022-11-13T13:43:36Z</dcterms:modified>
</cp:coreProperties>
</file>