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5"/>
  <workbookPr autoCompressPictures="0"/>
  <mc:AlternateContent xmlns:mc="http://schemas.openxmlformats.org/markup-compatibility/2006">
    <mc:Choice Requires="x15">
      <x15ac:absPath xmlns:x15ac="http://schemas.microsoft.com/office/spreadsheetml/2010/11/ac" url="/Volumes/dcpcsb/Shared/Finance/School Finance/Budgets/Budgets FY 2022/FY22 Budgets of Schools with Less 10% than Projected/Over Less 10% than Projected as of October 5/"/>
    </mc:Choice>
  </mc:AlternateContent>
  <xr:revisionPtr revIDLastSave="0" documentId="13_ncr:1_{C72D95D4-0710-6F46-8F96-67DA359C7975}" xr6:coauthVersionLast="47" xr6:coauthVersionMax="47" xr10:uidLastSave="{00000000-0000-0000-0000-000000000000}"/>
  <workbookProtection workbookAlgorithmName="SHA-512" workbookHashValue="CAjymQ3e5iOCpCzuLGApxBZUTAmGx+guREH7h6XhfGeGg+MrHi4HG9X2fRj8wfJ6REfvkdY3dU3+kHpZJZDHlQ==" workbookSaltValue="yf/9kbiFabPw2mJa5JB28A==" workbookSpinCount="100000" lockStructure="1"/>
  <bookViews>
    <workbookView xWindow="1020" yWindow="500" windowWidth="36320" windowHeight="18820" activeTab="2" xr2:uid="{00000000-000D-0000-FFFF-FFFF00000000}"/>
  </bookViews>
  <sheets>
    <sheet name="1 Instructions - Read First" sheetId="6" r:id="rId1"/>
    <sheet name="2 Enrollments" sheetId="4" r:id="rId2"/>
    <sheet name="3 FY22 Annual Budget" sheetId="5" r:id="rId3"/>
    <sheet name="FY22 Pro Forma Estimate" sheetId="8" state="hidden" r:id="rId4"/>
    <sheet name="LEA List" sheetId="7" state="hidden" r:id="rId5"/>
  </sheets>
  <externalReferences>
    <externalReference r:id="rId6"/>
    <externalReference r:id="rId7"/>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2">#REF!</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LEA_Name" localSheetId="3">LEA_List[LEA]</definedName>
    <definedName name="LEA_Name">LEA_List[LEA]</definedName>
    <definedName name="_xlnm.Print_Area" localSheetId="0">'1 Instructions - Read First'!$B$1:$B$10</definedName>
    <definedName name="_xlnm.Print_Area" localSheetId="2">'3 FY22 Annual Budget'!$A:$Y</definedName>
    <definedName name="Scenario" localSheetId="2">[1]Inputs!#REF!</definedName>
    <definedName name="Variability">'FY22 Pro Forma Estimate'!$M$6:$M$11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74" i="8" l="1"/>
  <c r="L70" i="8"/>
  <c r="L68" i="8"/>
  <c r="L66" i="8"/>
  <c r="C74" i="8" l="1"/>
  <c r="J74" i="8" s="1"/>
  <c r="I1" i="8"/>
  <c r="A64" i="8"/>
  <c r="A62" i="8"/>
  <c r="B61" i="8"/>
  <c r="B59" i="8"/>
  <c r="C58" i="8"/>
  <c r="B58" i="8"/>
  <c r="C57" i="8"/>
  <c r="B57" i="8"/>
  <c r="C56" i="8"/>
  <c r="H56" i="8" s="1"/>
  <c r="I56" i="8" s="1"/>
  <c r="B56" i="8"/>
  <c r="C55" i="8"/>
  <c r="B55" i="8"/>
  <c r="C54" i="8"/>
  <c r="B54" i="8"/>
  <c r="C53" i="8"/>
  <c r="G53" i="8" s="1"/>
  <c r="H53" i="8" s="1"/>
  <c r="I53" i="8" s="1"/>
  <c r="B53" i="8"/>
  <c r="C52" i="8"/>
  <c r="G52" i="8" s="1"/>
  <c r="H52" i="8" s="1"/>
  <c r="I52" i="8" s="1"/>
  <c r="B52" i="8"/>
  <c r="C51" i="8"/>
  <c r="B51" i="8"/>
  <c r="C50" i="8"/>
  <c r="B50" i="8"/>
  <c r="C49" i="8"/>
  <c r="B49" i="8"/>
  <c r="C48" i="8"/>
  <c r="B48" i="8"/>
  <c r="C47" i="8"/>
  <c r="B47" i="8"/>
  <c r="A46" i="8"/>
  <c r="B44" i="8"/>
  <c r="C43" i="8"/>
  <c r="G43" i="8" s="1"/>
  <c r="H43" i="8" s="1"/>
  <c r="I43" i="8" s="1"/>
  <c r="B43" i="8"/>
  <c r="C42" i="8"/>
  <c r="G42" i="8" s="1"/>
  <c r="H42" i="8" s="1"/>
  <c r="I42" i="8" s="1"/>
  <c r="B42" i="8"/>
  <c r="C41" i="8"/>
  <c r="B41" i="8"/>
  <c r="C40" i="8"/>
  <c r="B40" i="8"/>
  <c r="C39" i="8"/>
  <c r="B39" i="8"/>
  <c r="C38" i="8"/>
  <c r="B38" i="8"/>
  <c r="A37" i="8"/>
  <c r="B35" i="8"/>
  <c r="C34" i="8"/>
  <c r="B34" i="8"/>
  <c r="C33" i="8"/>
  <c r="B33" i="8"/>
  <c r="C32" i="8"/>
  <c r="G32" i="8" s="1"/>
  <c r="H32" i="8" s="1"/>
  <c r="I32" i="8" s="1"/>
  <c r="B32" i="8"/>
  <c r="C31" i="8"/>
  <c r="B31" i="8"/>
  <c r="C30" i="8"/>
  <c r="G30" i="8" s="1"/>
  <c r="B30" i="8"/>
  <c r="A29" i="8"/>
  <c r="B27" i="8"/>
  <c r="C26" i="8"/>
  <c r="B26" i="8"/>
  <c r="C25" i="8"/>
  <c r="B25" i="8"/>
  <c r="C24" i="8"/>
  <c r="B24" i="8"/>
  <c r="C23" i="8"/>
  <c r="B23" i="8"/>
  <c r="C22" i="8"/>
  <c r="B22" i="8"/>
  <c r="C21" i="8"/>
  <c r="B21" i="8"/>
  <c r="C20" i="8"/>
  <c r="B20" i="8"/>
  <c r="A19" i="8"/>
  <c r="A18" i="8"/>
  <c r="B16" i="8"/>
  <c r="C15" i="8"/>
  <c r="B15" i="8"/>
  <c r="C14" i="8"/>
  <c r="B14" i="8"/>
  <c r="C13" i="8"/>
  <c r="B13" i="8"/>
  <c r="C12" i="8"/>
  <c r="B12" i="8"/>
  <c r="C11" i="8"/>
  <c r="B11" i="8"/>
  <c r="C10" i="8"/>
  <c r="B10" i="8"/>
  <c r="C9" i="8"/>
  <c r="C16" i="8" s="1"/>
  <c r="B9" i="8"/>
  <c r="C8" i="8"/>
  <c r="B8" i="8"/>
  <c r="C7" i="8"/>
  <c r="B7" i="8"/>
  <c r="A6" i="8"/>
  <c r="A2" i="8"/>
  <c r="A1" i="8"/>
  <c r="K70" i="8"/>
  <c r="J70" i="8"/>
  <c r="K68" i="8"/>
  <c r="J68" i="8"/>
  <c r="E58" i="8"/>
  <c r="E57" i="8"/>
  <c r="E56" i="8"/>
  <c r="G56" i="8" s="1"/>
  <c r="E55" i="8"/>
  <c r="G55" i="8" s="1"/>
  <c r="H55" i="8" s="1"/>
  <c r="I55" i="8" s="1"/>
  <c r="F54" i="8"/>
  <c r="E54" i="8"/>
  <c r="E53" i="8"/>
  <c r="E52" i="8"/>
  <c r="E51" i="8"/>
  <c r="E50" i="8"/>
  <c r="E49" i="8"/>
  <c r="E48" i="8"/>
  <c r="E47" i="8"/>
  <c r="G47" i="8" s="1"/>
  <c r="E43" i="8"/>
  <c r="E42" i="8"/>
  <c r="E41" i="8"/>
  <c r="G41" i="8"/>
  <c r="H41" i="8" s="1"/>
  <c r="I41" i="8" s="1"/>
  <c r="E40" i="8"/>
  <c r="E39" i="8"/>
  <c r="E38" i="8"/>
  <c r="C44" i="8"/>
  <c r="F34" i="8"/>
  <c r="E34" i="8"/>
  <c r="F33" i="8"/>
  <c r="E33" i="8"/>
  <c r="F32" i="8"/>
  <c r="E32" i="8"/>
  <c r="G31" i="8"/>
  <c r="H31" i="8" s="1"/>
  <c r="I31" i="8" s="1"/>
  <c r="E31" i="8"/>
  <c r="E30" i="8"/>
  <c r="E26" i="8"/>
  <c r="E25" i="8"/>
  <c r="E24" i="8"/>
  <c r="E23" i="8"/>
  <c r="G23" i="8"/>
  <c r="F22" i="8"/>
  <c r="E22" i="8"/>
  <c r="G22" i="8" s="1"/>
  <c r="H22" i="8" s="1"/>
  <c r="I22" i="8" s="1"/>
  <c r="G21" i="8"/>
  <c r="H21" i="8" s="1"/>
  <c r="I21" i="8" s="1"/>
  <c r="F21" i="8"/>
  <c r="E21" i="8"/>
  <c r="G20" i="8"/>
  <c r="H20" i="8" s="1"/>
  <c r="E20" i="8"/>
  <c r="C27" i="8"/>
  <c r="E15" i="8"/>
  <c r="F14" i="8"/>
  <c r="E14" i="8"/>
  <c r="F13" i="8"/>
  <c r="E13" i="8"/>
  <c r="G12" i="8"/>
  <c r="H12" i="8" s="1"/>
  <c r="I12" i="8" s="1"/>
  <c r="E12" i="8"/>
  <c r="E11" i="8"/>
  <c r="G11" i="8"/>
  <c r="H11" i="8" s="1"/>
  <c r="I11" i="8" s="1"/>
  <c r="O10" i="8"/>
  <c r="F50" i="8" s="1"/>
  <c r="F10" i="8"/>
  <c r="E10" i="8"/>
  <c r="O9" i="8"/>
  <c r="G9" i="8"/>
  <c r="H9" i="8" s="1"/>
  <c r="I9" i="8" s="1"/>
  <c r="F9" i="8"/>
  <c r="E9" i="8"/>
  <c r="O8" i="8"/>
  <c r="F24" i="8" s="1"/>
  <c r="F8" i="8"/>
  <c r="E8" i="8"/>
  <c r="R7" i="8"/>
  <c r="O7" i="8"/>
  <c r="F20" i="8" s="1"/>
  <c r="F7" i="8"/>
  <c r="E7" i="8"/>
  <c r="O6" i="8"/>
  <c r="F53" i="8" s="1"/>
  <c r="W56" i="5"/>
  <c r="W55" i="5"/>
  <c r="W54" i="5"/>
  <c r="W53" i="5"/>
  <c r="W52" i="5"/>
  <c r="W51" i="5"/>
  <c r="C2" i="6"/>
  <c r="AB56" i="5"/>
  <c r="AB52" i="5"/>
  <c r="AB14" i="5"/>
  <c r="AB13" i="5"/>
  <c r="K74" i="8" l="1"/>
  <c r="G13" i="8"/>
  <c r="H13" i="8" s="1"/>
  <c r="I13" i="8" s="1"/>
  <c r="G33" i="8"/>
  <c r="H33" i="8" s="1"/>
  <c r="I33" i="8" s="1"/>
  <c r="K52" i="8"/>
  <c r="K12" i="8"/>
  <c r="K33" i="8"/>
  <c r="H47" i="8"/>
  <c r="K9" i="8"/>
  <c r="K22" i="8"/>
  <c r="K55" i="8"/>
  <c r="K43" i="8"/>
  <c r="K56" i="8"/>
  <c r="H26" i="8"/>
  <c r="I26" i="8" s="1"/>
  <c r="K21" i="8"/>
  <c r="H40" i="8"/>
  <c r="I40" i="8" s="1"/>
  <c r="K42" i="8"/>
  <c r="K31" i="8"/>
  <c r="K11" i="8"/>
  <c r="I20" i="8"/>
  <c r="K41" i="8"/>
  <c r="K13" i="8"/>
  <c r="H30" i="8"/>
  <c r="K53" i="8"/>
  <c r="G10" i="8"/>
  <c r="H10" i="8"/>
  <c r="I10" i="8" s="1"/>
  <c r="K32" i="8"/>
  <c r="H49" i="8"/>
  <c r="I49" i="8" s="1"/>
  <c r="F43" i="8"/>
  <c r="C35" i="8"/>
  <c r="C61" i="8" s="1"/>
  <c r="F47" i="8"/>
  <c r="F55" i="8"/>
  <c r="F23" i="8"/>
  <c r="F48" i="8"/>
  <c r="F56" i="8"/>
  <c r="G34" i="8"/>
  <c r="G35" i="8" s="1"/>
  <c r="F38" i="8"/>
  <c r="G48" i="8"/>
  <c r="H48" i="8" s="1"/>
  <c r="I48" i="8" s="1"/>
  <c r="F49" i="8"/>
  <c r="F57" i="8"/>
  <c r="C59" i="8"/>
  <c r="G7" i="8"/>
  <c r="H7" i="8" s="1"/>
  <c r="G14" i="8"/>
  <c r="H14" i="8" s="1"/>
  <c r="I14" i="8" s="1"/>
  <c r="H23" i="8"/>
  <c r="I23" i="8" s="1"/>
  <c r="G24" i="8"/>
  <c r="H24" i="8" s="1"/>
  <c r="I24" i="8" s="1"/>
  <c r="F25" i="8"/>
  <c r="G38" i="8"/>
  <c r="F39" i="8"/>
  <c r="G49" i="8"/>
  <c r="G57" i="8"/>
  <c r="H57" i="8" s="1"/>
  <c r="I57" i="8" s="1"/>
  <c r="F58" i="8"/>
  <c r="G25" i="8"/>
  <c r="H25" i="8" s="1"/>
  <c r="I25" i="8" s="1"/>
  <c r="F26" i="8"/>
  <c r="G27" i="8"/>
  <c r="H38" i="8"/>
  <c r="G39" i="8"/>
  <c r="H39" i="8" s="1"/>
  <c r="I39" i="8" s="1"/>
  <c r="F40" i="8"/>
  <c r="G50" i="8"/>
  <c r="H50" i="8" s="1"/>
  <c r="I50" i="8" s="1"/>
  <c r="F51" i="8"/>
  <c r="G58" i="8"/>
  <c r="H58" i="8" s="1"/>
  <c r="I58" i="8" s="1"/>
  <c r="F15" i="8"/>
  <c r="G8" i="8"/>
  <c r="H8" i="8" s="1"/>
  <c r="I8" i="8" s="1"/>
  <c r="F11" i="8"/>
  <c r="G15" i="8"/>
  <c r="H15" i="8" s="1"/>
  <c r="I15" i="8" s="1"/>
  <c r="G26" i="8"/>
  <c r="F30" i="8"/>
  <c r="G40" i="8"/>
  <c r="F41" i="8"/>
  <c r="G51" i="8"/>
  <c r="H51" i="8" s="1"/>
  <c r="I51" i="8" s="1"/>
  <c r="F52" i="8"/>
  <c r="F12" i="8"/>
  <c r="F31" i="8"/>
  <c r="F42" i="8"/>
  <c r="D59" i="4"/>
  <c r="D58" i="4"/>
  <c r="D57" i="4"/>
  <c r="D56" i="4"/>
  <c r="D48" i="4"/>
  <c r="D45" i="4"/>
  <c r="D41" i="4"/>
  <c r="D40" i="4"/>
  <c r="D39" i="4"/>
  <c r="D38" i="4"/>
  <c r="D29" i="4"/>
  <c r="D28" i="4"/>
  <c r="D27" i="4"/>
  <c r="D26" i="4"/>
  <c r="D22" i="4"/>
  <c r="D21" i="4"/>
  <c r="D20" i="4"/>
  <c r="D19" i="4"/>
  <c r="D18" i="4"/>
  <c r="D17" i="4"/>
  <c r="D16" i="4"/>
  <c r="D15" i="4"/>
  <c r="D14" i="4"/>
  <c r="D13" i="4"/>
  <c r="D12" i="4"/>
  <c r="D11" i="4"/>
  <c r="D10" i="4"/>
  <c r="D9" i="4"/>
  <c r="D8" i="4"/>
  <c r="D7" i="4"/>
  <c r="D6" i="4"/>
  <c r="D5" i="4"/>
  <c r="D53" i="4"/>
  <c r="D35" i="4"/>
  <c r="D25" i="4"/>
  <c r="D32" i="4" s="1"/>
  <c r="C53" i="4"/>
  <c r="B53" i="4"/>
  <c r="C35" i="4"/>
  <c r="B35" i="4"/>
  <c r="S56" i="5"/>
  <c r="S55" i="5"/>
  <c r="S54" i="5"/>
  <c r="S53" i="5"/>
  <c r="S52" i="5"/>
  <c r="S51" i="5"/>
  <c r="O56" i="5"/>
  <c r="O55" i="5"/>
  <c r="O54" i="5"/>
  <c r="O53" i="5"/>
  <c r="O52" i="5"/>
  <c r="O51" i="5"/>
  <c r="K56" i="5"/>
  <c r="K55" i="5"/>
  <c r="K54" i="5"/>
  <c r="K53" i="5"/>
  <c r="K52" i="5"/>
  <c r="K51" i="5"/>
  <c r="P44" i="5"/>
  <c r="Q44" i="5"/>
  <c r="R44" i="5"/>
  <c r="L44" i="5"/>
  <c r="M44" i="5"/>
  <c r="N44" i="5"/>
  <c r="H44" i="5"/>
  <c r="I44" i="5"/>
  <c r="J44" i="5"/>
  <c r="L35" i="5"/>
  <c r="M35" i="5"/>
  <c r="N35" i="5"/>
  <c r="H35" i="5"/>
  <c r="I35" i="5"/>
  <c r="J35" i="5"/>
  <c r="P35" i="5"/>
  <c r="Q35" i="5"/>
  <c r="R35" i="5"/>
  <c r="P27" i="5"/>
  <c r="Q27" i="5"/>
  <c r="R27" i="5"/>
  <c r="L27" i="5"/>
  <c r="M27" i="5"/>
  <c r="N27" i="5"/>
  <c r="H27" i="5"/>
  <c r="I27" i="5"/>
  <c r="J27" i="5"/>
  <c r="H16" i="5"/>
  <c r="I16" i="5"/>
  <c r="J16" i="5"/>
  <c r="L16" i="5"/>
  <c r="M16" i="5"/>
  <c r="N16" i="5"/>
  <c r="P16" i="5"/>
  <c r="Q16" i="5"/>
  <c r="R16" i="5"/>
  <c r="T16" i="5"/>
  <c r="U16" i="5"/>
  <c r="V16" i="5"/>
  <c r="H59" i="5"/>
  <c r="I59" i="5"/>
  <c r="J59" i="5"/>
  <c r="L59" i="5"/>
  <c r="M59" i="5"/>
  <c r="N59" i="5"/>
  <c r="O59" i="5" s="1"/>
  <c r="P59" i="5"/>
  <c r="Q59" i="5"/>
  <c r="R59" i="5"/>
  <c r="T59" i="5"/>
  <c r="U59" i="5"/>
  <c r="V59" i="5"/>
  <c r="T44" i="5"/>
  <c r="U44" i="5"/>
  <c r="V44" i="5"/>
  <c r="T35" i="5"/>
  <c r="U35" i="5"/>
  <c r="V35" i="5"/>
  <c r="T27" i="5"/>
  <c r="U27" i="5"/>
  <c r="V27" i="5"/>
  <c r="D59" i="5"/>
  <c r="D44" i="5"/>
  <c r="D35" i="5"/>
  <c r="D27" i="5"/>
  <c r="K40" i="5"/>
  <c r="O40" i="5"/>
  <c r="S40" i="5"/>
  <c r="W40" i="5"/>
  <c r="K39" i="5"/>
  <c r="O39" i="5"/>
  <c r="S39" i="5"/>
  <c r="W39" i="5"/>
  <c r="K14" i="5"/>
  <c r="O14" i="5"/>
  <c r="S14" i="5"/>
  <c r="W14" i="5"/>
  <c r="D16" i="5"/>
  <c r="A2" i="5"/>
  <c r="A2" i="4"/>
  <c r="A1" i="4"/>
  <c r="A1" i="5"/>
  <c r="B60" i="4"/>
  <c r="B42" i="4"/>
  <c r="B23" i="4"/>
  <c r="I5" i="5"/>
  <c r="J5" i="5" s="1"/>
  <c r="K5" i="5" s="1"/>
  <c r="L5" i="5" s="1"/>
  <c r="M5" i="5" s="1"/>
  <c r="N5" i="5" s="1"/>
  <c r="O5" i="5" s="1"/>
  <c r="P5" i="5" s="1"/>
  <c r="Q5" i="5" s="1"/>
  <c r="R5" i="5" s="1"/>
  <c r="S5" i="5" s="1"/>
  <c r="T5" i="5" s="1"/>
  <c r="U5" i="5" s="1"/>
  <c r="V5" i="5" s="1"/>
  <c r="W5" i="5" s="1"/>
  <c r="F27" i="5"/>
  <c r="W33" i="5"/>
  <c r="S33" i="5"/>
  <c r="O33" i="5"/>
  <c r="K33" i="5"/>
  <c r="W58" i="5"/>
  <c r="S58" i="5"/>
  <c r="O58" i="5"/>
  <c r="K58" i="5"/>
  <c r="W57" i="5"/>
  <c r="S57" i="5"/>
  <c r="O57" i="5"/>
  <c r="K57" i="5"/>
  <c r="W50" i="5"/>
  <c r="S50" i="5"/>
  <c r="O50" i="5"/>
  <c r="K50" i="5"/>
  <c r="W49" i="5"/>
  <c r="S49" i="5"/>
  <c r="O49" i="5"/>
  <c r="K49" i="5"/>
  <c r="W48" i="5"/>
  <c r="S48" i="5"/>
  <c r="O48" i="5"/>
  <c r="K48" i="5"/>
  <c r="W47" i="5"/>
  <c r="S47" i="5"/>
  <c r="O47" i="5"/>
  <c r="K47" i="5"/>
  <c r="W43" i="5"/>
  <c r="S43" i="5"/>
  <c r="O43" i="5"/>
  <c r="K43" i="5"/>
  <c r="W42" i="5"/>
  <c r="S42" i="5"/>
  <c r="O42" i="5"/>
  <c r="K42" i="5"/>
  <c r="W41" i="5"/>
  <c r="S41" i="5"/>
  <c r="O41" i="5"/>
  <c r="K41" i="5"/>
  <c r="W38" i="5"/>
  <c r="S38" i="5"/>
  <c r="O38" i="5"/>
  <c r="K38" i="5"/>
  <c r="W34" i="5"/>
  <c r="S34" i="5"/>
  <c r="O34" i="5"/>
  <c r="K34" i="5"/>
  <c r="W32" i="5"/>
  <c r="S32" i="5"/>
  <c r="O32" i="5"/>
  <c r="K32" i="5"/>
  <c r="W31" i="5"/>
  <c r="S31" i="5"/>
  <c r="O31" i="5"/>
  <c r="K31" i="5"/>
  <c r="W30" i="5"/>
  <c r="S30" i="5"/>
  <c r="O30" i="5"/>
  <c r="K30" i="5"/>
  <c r="W26" i="5"/>
  <c r="S26" i="5"/>
  <c r="O26" i="5"/>
  <c r="K26" i="5"/>
  <c r="W25" i="5"/>
  <c r="S25" i="5"/>
  <c r="O25" i="5"/>
  <c r="K25" i="5"/>
  <c r="W24" i="5"/>
  <c r="S24" i="5"/>
  <c r="O24" i="5"/>
  <c r="K24" i="5"/>
  <c r="W23" i="5"/>
  <c r="S23" i="5"/>
  <c r="O23" i="5"/>
  <c r="K23" i="5"/>
  <c r="W22" i="5"/>
  <c r="S22" i="5"/>
  <c r="O22" i="5"/>
  <c r="K22" i="5"/>
  <c r="W21" i="5"/>
  <c r="S21" i="5"/>
  <c r="O21" i="5"/>
  <c r="K21" i="5"/>
  <c r="W20" i="5"/>
  <c r="S20" i="5"/>
  <c r="O20" i="5"/>
  <c r="K20" i="5"/>
  <c r="W15" i="5"/>
  <c r="S15" i="5"/>
  <c r="O15" i="5"/>
  <c r="K15" i="5"/>
  <c r="W13" i="5"/>
  <c r="S13" i="5"/>
  <c r="O13" i="5"/>
  <c r="K13" i="5"/>
  <c r="W12" i="5"/>
  <c r="S12" i="5"/>
  <c r="O12" i="5"/>
  <c r="K12" i="5"/>
  <c r="W11" i="5"/>
  <c r="S11" i="5"/>
  <c r="O11" i="5"/>
  <c r="K11" i="5"/>
  <c r="W10" i="5"/>
  <c r="S10" i="5"/>
  <c r="O10" i="5"/>
  <c r="K10" i="5"/>
  <c r="W9" i="5"/>
  <c r="S9" i="5"/>
  <c r="O9" i="5"/>
  <c r="K9" i="5"/>
  <c r="W8" i="5"/>
  <c r="S8" i="5"/>
  <c r="O8" i="5"/>
  <c r="K8" i="5"/>
  <c r="W7" i="5"/>
  <c r="S7" i="5"/>
  <c r="O7" i="5"/>
  <c r="K7" i="5"/>
  <c r="B30" i="4"/>
  <c r="C30" i="4"/>
  <c r="C25" i="4"/>
  <c r="C32" i="4" s="1"/>
  <c r="C37" i="4" s="1"/>
  <c r="B25" i="4"/>
  <c r="B32" i="4" s="1"/>
  <c r="C60" i="4"/>
  <c r="C42" i="4"/>
  <c r="C23" i="4"/>
  <c r="H34" i="8" l="1"/>
  <c r="I34" i="8" s="1"/>
  <c r="K39" i="8"/>
  <c r="K24" i="8"/>
  <c r="K25" i="8"/>
  <c r="K14" i="8"/>
  <c r="K15" i="8"/>
  <c r="K8" i="8"/>
  <c r="C66" i="8"/>
  <c r="C67" i="8" s="1"/>
  <c r="C69" i="8" s="1"/>
  <c r="C62" i="8"/>
  <c r="C64" i="8" s="1"/>
  <c r="K51" i="8"/>
  <c r="K58" i="8"/>
  <c r="K57" i="8"/>
  <c r="H16" i="8"/>
  <c r="I7" i="8"/>
  <c r="K10" i="8"/>
  <c r="K50" i="8"/>
  <c r="K40" i="8"/>
  <c r="K48" i="8"/>
  <c r="I38" i="8"/>
  <c r="H44" i="8"/>
  <c r="K23" i="8"/>
  <c r="G44" i="8"/>
  <c r="K26" i="8"/>
  <c r="H35" i="8"/>
  <c r="I30" i="8"/>
  <c r="H27" i="8"/>
  <c r="K34" i="8"/>
  <c r="K49" i="8"/>
  <c r="I27" i="8"/>
  <c r="K20" i="8"/>
  <c r="K27" i="8" s="1"/>
  <c r="G16" i="8"/>
  <c r="I47" i="8"/>
  <c r="Y40" i="5"/>
  <c r="AA40" i="5" s="1"/>
  <c r="AB40" i="5" s="1"/>
  <c r="Y55" i="5"/>
  <c r="AA55" i="5" s="1"/>
  <c r="AB55" i="5" s="1"/>
  <c r="Y14" i="5"/>
  <c r="AA14" i="5" s="1"/>
  <c r="Y56" i="5"/>
  <c r="AA56" i="5" s="1"/>
  <c r="Y57" i="5"/>
  <c r="AA57" i="5" s="1"/>
  <c r="AB57" i="5" s="1"/>
  <c r="Y33" i="5"/>
  <c r="AA33" i="5" s="1"/>
  <c r="AB33" i="5" s="1"/>
  <c r="W16" i="5"/>
  <c r="Y54" i="5"/>
  <c r="AA54" i="5" s="1"/>
  <c r="AB54" i="5" s="1"/>
  <c r="Y41" i="5"/>
  <c r="AA41" i="5" s="1"/>
  <c r="AB41" i="5" s="1"/>
  <c r="W44" i="5"/>
  <c r="Y31" i="5"/>
  <c r="AA31" i="5" s="1"/>
  <c r="AB31" i="5" s="1"/>
  <c r="O35" i="5"/>
  <c r="Y53" i="5"/>
  <c r="AA53" i="5" s="1"/>
  <c r="AB53" i="5" s="1"/>
  <c r="K44" i="5"/>
  <c r="Y49" i="5"/>
  <c r="AA49" i="5" s="1"/>
  <c r="AB49" i="5" s="1"/>
  <c r="Y10" i="5"/>
  <c r="AA10" i="5" s="1"/>
  <c r="AB10" i="5" s="1"/>
  <c r="K59" i="5"/>
  <c r="O44" i="5"/>
  <c r="S35" i="5"/>
  <c r="Y42" i="5"/>
  <c r="AA42" i="5" s="1"/>
  <c r="AB42" i="5" s="1"/>
  <c r="Y39" i="5"/>
  <c r="AA39" i="5" s="1"/>
  <c r="AB39" i="5" s="1"/>
  <c r="D60" i="4"/>
  <c r="W59" i="5"/>
  <c r="Y58" i="5"/>
  <c r="AA58" i="5" s="1"/>
  <c r="AB58" i="5" s="1"/>
  <c r="Y50" i="5"/>
  <c r="AA50" i="5" s="1"/>
  <c r="AB50" i="5" s="1"/>
  <c r="Y48" i="5"/>
  <c r="AA48" i="5" s="1"/>
  <c r="AB48" i="5" s="1"/>
  <c r="Y43" i="5"/>
  <c r="AA43" i="5" s="1"/>
  <c r="AB43" i="5" s="1"/>
  <c r="V61" i="5"/>
  <c r="V62" i="5" s="1"/>
  <c r="V64" i="5" s="1"/>
  <c r="U61" i="5"/>
  <c r="U62" i="5" s="1"/>
  <c r="U64" i="5" s="1"/>
  <c r="W35" i="5"/>
  <c r="S44" i="5"/>
  <c r="Q61" i="5"/>
  <c r="Q62" i="5" s="1"/>
  <c r="Q64" i="5" s="1"/>
  <c r="Y32" i="5"/>
  <c r="AA32" i="5" s="1"/>
  <c r="AB32" i="5" s="1"/>
  <c r="N61" i="5"/>
  <c r="N62" i="5" s="1"/>
  <c r="N64" i="5" s="1"/>
  <c r="Y34" i="5"/>
  <c r="AA34" i="5" s="1"/>
  <c r="AB34" i="5" s="1"/>
  <c r="Y51" i="5"/>
  <c r="AA51" i="5" s="1"/>
  <c r="AB51" i="5" s="1"/>
  <c r="Y52" i="5"/>
  <c r="AA52" i="5" s="1"/>
  <c r="I61" i="5"/>
  <c r="I62" i="5" s="1"/>
  <c r="I64" i="5" s="1"/>
  <c r="J61" i="5"/>
  <c r="J62" i="5" s="1"/>
  <c r="J64" i="5" s="1"/>
  <c r="Y38" i="5"/>
  <c r="AA38" i="5" s="1"/>
  <c r="AB38" i="5" s="1"/>
  <c r="L61" i="5"/>
  <c r="L62" i="5" s="1"/>
  <c r="L64" i="5" s="1"/>
  <c r="Y30" i="5"/>
  <c r="AA30" i="5" s="1"/>
  <c r="AB30" i="5" s="1"/>
  <c r="Y22" i="5"/>
  <c r="AA22" i="5" s="1"/>
  <c r="AB22" i="5" s="1"/>
  <c r="Y26" i="5"/>
  <c r="AA26" i="5" s="1"/>
  <c r="AB26" i="5" s="1"/>
  <c r="Y23" i="5"/>
  <c r="AA23" i="5" s="1"/>
  <c r="AB23" i="5" s="1"/>
  <c r="Y21" i="5"/>
  <c r="AA21" i="5" s="1"/>
  <c r="AB21" i="5" s="1"/>
  <c r="W27" i="5"/>
  <c r="S27" i="5"/>
  <c r="Y25" i="5"/>
  <c r="AA25" i="5" s="1"/>
  <c r="AB25" i="5" s="1"/>
  <c r="R61" i="5"/>
  <c r="R62" i="5" s="1"/>
  <c r="R64" i="5" s="1"/>
  <c r="O27" i="5"/>
  <c r="Y24" i="5"/>
  <c r="AA24" i="5" s="1"/>
  <c r="AB24" i="5" s="1"/>
  <c r="M61" i="5"/>
  <c r="M62" i="5" s="1"/>
  <c r="M64" i="5" s="1"/>
  <c r="H61" i="5"/>
  <c r="H62" i="5" s="1"/>
  <c r="H64" i="5" s="1"/>
  <c r="Y20" i="5"/>
  <c r="AA20" i="5" s="1"/>
  <c r="AB20" i="5" s="1"/>
  <c r="K27" i="5"/>
  <c r="Y47" i="5"/>
  <c r="AA47" i="5" s="1"/>
  <c r="AB47" i="5" s="1"/>
  <c r="T61" i="5"/>
  <c r="T62" i="5" s="1"/>
  <c r="T64" i="5" s="1"/>
  <c r="P61" i="5"/>
  <c r="P62" i="5" s="1"/>
  <c r="P64" i="5" s="1"/>
  <c r="K35" i="5"/>
  <c r="Y11" i="5"/>
  <c r="AA11" i="5" s="1"/>
  <c r="AB11" i="5" s="1"/>
  <c r="Y15" i="5"/>
  <c r="AA15" i="5" s="1"/>
  <c r="AB15" i="5" s="1"/>
  <c r="Y9" i="5"/>
  <c r="AA9" i="5" s="1"/>
  <c r="AB9" i="5" s="1"/>
  <c r="S16" i="5"/>
  <c r="Y7" i="5"/>
  <c r="AA7" i="5" s="1"/>
  <c r="AB7" i="5" s="1"/>
  <c r="Y13" i="5"/>
  <c r="AA13" i="5" s="1"/>
  <c r="Y12" i="5"/>
  <c r="AA12" i="5" s="1"/>
  <c r="AB12" i="5" s="1"/>
  <c r="O16" i="5"/>
  <c r="Y8" i="5"/>
  <c r="AA8" i="5" s="1"/>
  <c r="AB8" i="5" s="1"/>
  <c r="D61" i="5"/>
  <c r="D62" i="5" s="1"/>
  <c r="D42" i="4"/>
  <c r="D30" i="4"/>
  <c r="S59" i="5"/>
  <c r="K16" i="5"/>
  <c r="D23" i="4"/>
  <c r="D44" i="4"/>
  <c r="D37" i="4"/>
  <c r="B37" i="4"/>
  <c r="B44" i="4"/>
  <c r="C44" i="4"/>
  <c r="I44" i="8" l="1"/>
  <c r="K38" i="8"/>
  <c r="K44" i="8" s="1"/>
  <c r="I16" i="8"/>
  <c r="K7" i="8"/>
  <c r="R8" i="8" s="1"/>
  <c r="I35" i="8"/>
  <c r="K30" i="8"/>
  <c r="K35" i="8" s="1"/>
  <c r="C75" i="8"/>
  <c r="C71" i="8"/>
  <c r="C72" i="8" s="1"/>
  <c r="K47" i="8"/>
  <c r="G54" i="8"/>
  <c r="Y44" i="5"/>
  <c r="AA44" i="5" s="1"/>
  <c r="AB44" i="5" s="1"/>
  <c r="O61" i="5"/>
  <c r="O62" i="5" s="1"/>
  <c r="O64" i="5" s="1"/>
  <c r="W61" i="5"/>
  <c r="W62" i="5" s="1"/>
  <c r="W64" i="5" s="1"/>
  <c r="Y35" i="5"/>
  <c r="AA35" i="5" s="1"/>
  <c r="AB35" i="5" s="1"/>
  <c r="Y27" i="5"/>
  <c r="AA27" i="5" s="1"/>
  <c r="AB27" i="5" s="1"/>
  <c r="K61" i="5"/>
  <c r="K62" i="5" s="1"/>
  <c r="D64" i="5"/>
  <c r="Y59" i="5"/>
  <c r="AA59" i="5" s="1"/>
  <c r="AB59" i="5" s="1"/>
  <c r="S61" i="5"/>
  <c r="Y16" i="5"/>
  <c r="AA16" i="5" s="1"/>
  <c r="AB16" i="5" s="1"/>
  <c r="D55" i="4"/>
  <c r="D47" i="4"/>
  <c r="D50" i="4" s="1"/>
  <c r="C55" i="4"/>
  <c r="C47" i="4"/>
  <c r="C50" i="4" s="1"/>
  <c r="B47" i="4"/>
  <c r="B50" i="4" s="1"/>
  <c r="B55" i="4"/>
  <c r="K16" i="8" l="1"/>
  <c r="H54" i="8"/>
  <c r="G59" i="8"/>
  <c r="G61" i="8" s="1"/>
  <c r="G62" i="8" s="1"/>
  <c r="S62" i="5"/>
  <c r="S64" i="5" s="1"/>
  <c r="Y61" i="5"/>
  <c r="AA61" i="5" s="1"/>
  <c r="AB61" i="5" s="1"/>
  <c r="K64" i="5"/>
  <c r="G64" i="8" l="1"/>
  <c r="I54" i="8"/>
  <c r="H59" i="8"/>
  <c r="H61" i="8" s="1"/>
  <c r="H62" i="8" s="1"/>
  <c r="H64" i="8" s="1"/>
  <c r="R9" i="8"/>
  <c r="R10" i="8"/>
  <c r="Y62" i="5"/>
  <c r="AA62" i="5" s="1"/>
  <c r="AB62" i="5" s="1"/>
  <c r="Y64" i="5"/>
  <c r="AA64" i="5" s="1"/>
  <c r="AB64" i="5" s="1"/>
  <c r="K54" i="8" l="1"/>
  <c r="K59" i="8" s="1"/>
  <c r="K61" i="8" s="1"/>
  <c r="I59" i="8"/>
  <c r="I61" i="8" s="1"/>
  <c r="I62" i="8" s="1"/>
  <c r="I64" i="8" l="1"/>
  <c r="J1" i="8"/>
  <c r="K66" i="8"/>
  <c r="K67" i="8" s="1"/>
  <c r="K69" i="8" s="1"/>
  <c r="K62" i="8"/>
  <c r="K64" i="8" s="1"/>
  <c r="K75" i="8" l="1"/>
  <c r="K71" i="8"/>
  <c r="K72" i="8" s="1"/>
  <c r="J55" i="8"/>
  <c r="J42" i="8"/>
  <c r="J9" i="8"/>
  <c r="J52" i="8"/>
  <c r="J56" i="8"/>
  <c r="J32" i="8"/>
  <c r="J12" i="8"/>
  <c r="J53" i="8"/>
  <c r="J41" i="8"/>
  <c r="J43" i="8"/>
  <c r="J21" i="8"/>
  <c r="J31" i="8"/>
  <c r="J33" i="8"/>
  <c r="J22" i="8"/>
  <c r="J11" i="8"/>
  <c r="J13" i="8"/>
  <c r="J51" i="8"/>
  <c r="J20" i="8"/>
  <c r="J39" i="8"/>
  <c r="J40" i="8"/>
  <c r="J15" i="8"/>
  <c r="J58" i="8"/>
  <c r="J50" i="8"/>
  <c r="J8" i="8"/>
  <c r="J24" i="8"/>
  <c r="J57" i="8"/>
  <c r="J23" i="8"/>
  <c r="J34" i="8"/>
  <c r="J49" i="8"/>
  <c r="J25" i="8"/>
  <c r="J26" i="8"/>
  <c r="J14" i="8"/>
  <c r="J10" i="8"/>
  <c r="J48" i="8"/>
  <c r="J38" i="8"/>
  <c r="J30" i="8"/>
  <c r="J47" i="8"/>
  <c r="J7" i="8"/>
  <c r="J16" i="8" s="1"/>
  <c r="J54" i="8"/>
  <c r="J59" i="8" l="1"/>
  <c r="J44" i="8"/>
  <c r="J27" i="8"/>
  <c r="J35" i="8"/>
  <c r="J61" i="8" l="1"/>
  <c r="J66" i="8" l="1"/>
  <c r="J67" i="8" s="1"/>
  <c r="J69" i="8" s="1"/>
  <c r="J62" i="8"/>
  <c r="J64" i="8" s="1"/>
  <c r="J75" i="8" l="1"/>
  <c r="J71" i="8"/>
  <c r="J72" i="8" s="1"/>
  <c r="R11" i="8" l="1"/>
  <c r="R12" i="8" s="1"/>
  <c r="L67" i="8" s="1"/>
  <c r="L69" i="8" s="1"/>
  <c r="L71" i="8" l="1"/>
  <c r="L72" i="8" s="1"/>
  <c r="L7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1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tc={1FE4C607-D3B2-4141-95A9-0261E665AD90}</author>
  </authors>
  <commentList>
    <comment ref="D5" authorId="0" shapeId="0" xr:uid="{1FE4C607-D3B2-4141-95A9-0261E665AD90}">
      <text>
        <t>[Threaded comment]
Your version of Excel allows you to read this threaded comment; however, any edits to it will get removed if the file is opened in a newer version of Excel. Learn more: https://go.microsoft.com/fwlink/?linkid=870924
Comment:
    If “Budget” is selected, the amounts in this column should tie to the amounts in the published FY21 Budget. If “Projected” is selected, the amounts in this column should be the latest projected amounts you have for FY21.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tc={5F89B4C2-4396-A840-B060-951B829BDA80}</author>
    <author>tc={93C67EAF-7A84-C547-848F-C18146020386}</author>
  </authors>
  <commentList>
    <comment ref="G10" authorId="0" shapeId="0" xr:uid="{5F89B4C2-4396-A840-B060-951B829BDA80}">
      <text>
        <t>[Threaded comment]
Your version of Excel allows you to read this threaded comment; however, any edits to it will get removed if the file is opened in a newer version of Excel. Learn more: https://go.microsoft.com/fwlink/?linkid=870924
Comment:
    Imputed PPP and ESSER</t>
      </text>
    </comment>
    <comment ref="D38" authorId="1" shapeId="0" xr:uid="{93C67EAF-7A84-C547-848F-C18146020386}">
      <text>
        <t>[Threaded comment]
Your version of Excel allows you to read this threaded comment; however, any edits to it will get removed if the file is opened in a newer version of Excel. Learn more: https://go.microsoft.com/fwlink/?linkid=870924
Comment:
    Change to Variable if rent is per pupil</t>
      </text>
    </comment>
  </commentList>
</comments>
</file>

<file path=xl/sharedStrings.xml><?xml version="1.0" encoding="utf-8"?>
<sst xmlns="http://schemas.openxmlformats.org/spreadsheetml/2006/main" count="317" uniqueCount="254">
  <si>
    <t>Budget</t>
  </si>
  <si>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</si>
  <si>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</si>
  <si>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</si>
  <si>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</si>
  <si>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</si>
  <si>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</si>
  <si>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</si>
  <si>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</si>
  <si>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</si>
  <si>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</si>
  <si>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</si>
  <si>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</si>
  <si>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</si>
  <si>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</si>
  <si>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</si>
  <si>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</si>
  <si>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</si>
  <si>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</si>
  <si>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</si>
  <si>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</si>
  <si>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</si>
  <si>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</si>
  <si>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</si>
  <si>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</si>
  <si>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</si>
  <si>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</si>
  <si>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</si>
  <si>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</si>
  <si>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</si>
  <si>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</si>
  <si>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</si>
  <si>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</si>
  <si>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</si>
  <si>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</si>
  <si>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</si>
  <si>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</si>
  <si>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</si>
  <si>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</si>
  <si>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</si>
  <si>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</si>
  <si>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</si>
  <si>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</si>
  <si>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</si>
  <si>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</si>
  <si>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</si>
  <si>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</si>
  <si>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</si>
  <si>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</si>
  <si>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</si>
  <si>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</si>
  <si>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</si>
  <si>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Special Education</t>
  </si>
  <si>
    <t>Level 1</t>
  </si>
  <si>
    <t>Level 2</t>
  </si>
  <si>
    <t>Level 3</t>
  </si>
  <si>
    <t>Level 4</t>
  </si>
  <si>
    <t>Subtotal  for Special Ed</t>
  </si>
  <si>
    <t>Special Education-Residential</t>
  </si>
  <si>
    <t>Level 1 Residential</t>
  </si>
  <si>
    <t>Level 2 Residential</t>
  </si>
  <si>
    <t>Level 3 Residential</t>
  </si>
  <si>
    <t>Level 4 Residential</t>
  </si>
  <si>
    <t>Subtotal  for Special Ed Residential</t>
  </si>
  <si>
    <t>LEP/NEP Residential</t>
  </si>
  <si>
    <t>Residential</t>
  </si>
  <si>
    <t>Special Education Add-ons (ESY)</t>
  </si>
  <si>
    <t>Level 1 ESY</t>
  </si>
  <si>
    <t>Level 2 ESY</t>
  </si>
  <si>
    <t>Level 3 ESY</t>
  </si>
  <si>
    <t>Level 4 ESY</t>
  </si>
  <si>
    <t>Subtotal  for Special Ed - ESY</t>
  </si>
  <si>
    <t>Q1</t>
  </si>
  <si>
    <t>Q2</t>
  </si>
  <si>
    <t>Q3</t>
  </si>
  <si>
    <t>Q4</t>
  </si>
  <si>
    <t>No. of Positions</t>
  </si>
  <si>
    <t>Annual Budget</t>
  </si>
  <si>
    <t>At-Risk Students</t>
  </si>
  <si>
    <t>July</t>
  </si>
  <si>
    <t>August</t>
  </si>
  <si>
    <t>September</t>
  </si>
  <si>
    <t>October</t>
  </si>
  <si>
    <t>November</t>
  </si>
  <si>
    <t>December</t>
  </si>
  <si>
    <t>January</t>
  </si>
  <si>
    <t>February</t>
  </si>
  <si>
    <t>March</t>
  </si>
  <si>
    <t>April</t>
  </si>
  <si>
    <t>May</t>
  </si>
  <si>
    <t>June</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</si>
  <si>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</si>
  <si>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</si>
  <si>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</si>
  <si>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</si>
  <si>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</si>
  <si>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</si>
  <si>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</si>
  <si>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</si>
  <si>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</si>
  <si>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</si>
  <si>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</si>
  <si>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</si>
  <si>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</si>
  <si>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Federal Funding</t>
  </si>
  <si>
    <t>Administrative/Other Staff Salaries</t>
  </si>
  <si>
    <t>Employee Benefits and Payroll Taxes</t>
  </si>
  <si>
    <t>Educational Supplies and Textbooks</t>
  </si>
  <si>
    <t>Student Assessment Materials/Program Evaluation</t>
  </si>
  <si>
    <t>Other Direct Student Expense</t>
  </si>
  <si>
    <t>DC PCSB FY22 Budget Reporting Template</t>
  </si>
  <si>
    <t>FY22</t>
  </si>
  <si>
    <t>English Language Learners (ELL)</t>
  </si>
  <si>
    <t>All other grades</t>
  </si>
  <si>
    <t>Grades 9-12 Over-Age</t>
  </si>
  <si>
    <t>All other At-Risk</t>
  </si>
  <si>
    <t>New for FY22</t>
  </si>
  <si>
    <t>Subtotal for At-Risk</t>
  </si>
  <si>
    <t>Subtotal for ELL</t>
  </si>
  <si>
    <t>Subtotal for General Education</t>
  </si>
  <si>
    <t>ELL Residential</t>
  </si>
  <si>
    <t>FY21 Audited Enrollment</t>
  </si>
  <si>
    <t>FY22 Budgeted Enrollment</t>
  </si>
  <si>
    <t>Increase (Decrease)</t>
  </si>
  <si>
    <t>Grades 6-12</t>
  </si>
  <si>
    <t>CHANGE IN NET ASSETS</t>
  </si>
  <si>
    <t>OPERATING INCOME (LOSS)</t>
  </si>
  <si>
    <t>FY21</t>
  </si>
  <si>
    <t>FY22 - FY21</t>
  </si>
  <si>
    <t>Budget Change</t>
  </si>
  <si>
    <t>%</t>
  </si>
  <si>
    <t>YouthBuild DC PCS</t>
  </si>
  <si>
    <t>Washington Yu Ying PCS</t>
  </si>
  <si>
    <t>Washington Leadership Academy PCS</t>
  </si>
  <si>
    <t>Washington Latin PCS</t>
  </si>
  <si>
    <t>Washington Global PCS</t>
  </si>
  <si>
    <t>Two Rivers PCS</t>
  </si>
  <si>
    <t>Thurgood Marshall Academy PCS</t>
  </si>
  <si>
    <t>The Sojourner Truth School PCS</t>
  </si>
  <si>
    <t>The Next Step/El Proximo Paso PCS</t>
  </si>
  <si>
    <t>The Family Place PCS</t>
  </si>
  <si>
    <t>The Children's Guild DC PCS</t>
  </si>
  <si>
    <t>Statesmen College Preparatory Academy for Boys PCS</t>
  </si>
  <si>
    <t>St. Coletta Special Education PCS</t>
  </si>
  <si>
    <t>Somerset Preparatory Academy PCS</t>
  </si>
  <si>
    <t>Social Justice PCS</t>
  </si>
  <si>
    <t>Shining Stars Montessori Academy PCS</t>
  </si>
  <si>
    <t>Sela PCS</t>
  </si>
  <si>
    <t>SEED PCS</t>
  </si>
  <si>
    <t>Roots PCS</t>
  </si>
  <si>
    <t>Rocketship Education DC PCS</t>
  </si>
  <si>
    <t>Richard Wright PCS for Journalism and Media Arts</t>
  </si>
  <si>
    <t>Perry Street Preparatory PCS</t>
  </si>
  <si>
    <t>Paul PCS</t>
  </si>
  <si>
    <t>National Collegiate Preparatory PCHS</t>
  </si>
  <si>
    <t>Mundo Verde Bilingual PCS</t>
  </si>
  <si>
    <t>Monument Academy PCS</t>
  </si>
  <si>
    <t>Meridian PCS</t>
  </si>
  <si>
    <t>Maya Angelou PCS</t>
  </si>
  <si>
    <t>Mary McLeod Bethune Day Academy PCS</t>
  </si>
  <si>
    <t>Lee Montessori PCS</t>
  </si>
  <si>
    <t>LEARN DC PCS</t>
  </si>
  <si>
    <t>LAYC Career Academy PCS</t>
  </si>
  <si>
    <t>Latin American Montessori Bilingual PCS</t>
  </si>
  <si>
    <t>KIPP DC PCS</t>
  </si>
  <si>
    <t>Kingsman Academy PCS</t>
  </si>
  <si>
    <t>Inspired Teaching Demonstration PCS</t>
  </si>
  <si>
    <t>Ingenuity Prep PCS</t>
  </si>
  <si>
    <t>Ideal Academy PCS</t>
  </si>
  <si>
    <t>IDEA PCS</t>
  </si>
  <si>
    <t>I Dream PCS</t>
  </si>
  <si>
    <t>Howard University Middle School of Mathematics and Science PCS</t>
  </si>
  <si>
    <t>Hope Community PCS</t>
  </si>
  <si>
    <t>Harmony DC PCS</t>
  </si>
  <si>
    <t>Goodwill Excel Center PCS</t>
  </si>
  <si>
    <t>Global Citizens PCS</t>
  </si>
  <si>
    <t>Girls Global Academy PCS</t>
  </si>
  <si>
    <t>Friendship PCS</t>
  </si>
  <si>
    <t>Elsie Whitlow Stokes Community Freedom PCS</t>
  </si>
  <si>
    <t>Early Childhood Academy PCS</t>
  </si>
  <si>
    <t>Eagle Academy PCS</t>
  </si>
  <si>
    <t>E.L. Haynes PCS</t>
  </si>
  <si>
    <t>District of Columbia International School</t>
  </si>
  <si>
    <t>Digital Pioneers Academy PCS</t>
  </si>
  <si>
    <t>Democracy Prep Congress Heights PCS</t>
  </si>
  <si>
    <t>DC Scholars PCS</t>
  </si>
  <si>
    <t>DC Prep PCS</t>
  </si>
  <si>
    <t>DC Bilingual PCS</t>
  </si>
  <si>
    <t>Creative Minds International PCS</t>
  </si>
  <si>
    <t>Community College Preparatory Academy PCS</t>
  </si>
  <si>
    <t>City Arts &amp; Prep PCS</t>
  </si>
  <si>
    <t>Cesar Chavez PCS for Public Policy</t>
  </si>
  <si>
    <t>Center City PCS</t>
  </si>
  <si>
    <t>Cedar Tree Academy PCS</t>
  </si>
  <si>
    <t>Carlos Rosario International PCS</t>
  </si>
  <si>
    <t>Capital Village PCS</t>
  </si>
  <si>
    <t>Capital City PCS</t>
  </si>
  <si>
    <t>Briya PCS</t>
  </si>
  <si>
    <t>Bridges PCS</t>
  </si>
  <si>
    <t>Breakthrough Montessori PCS</t>
  </si>
  <si>
    <t>BASIS DC PCS</t>
  </si>
  <si>
    <t>AppleTree Early Learning PCS</t>
  </si>
  <si>
    <t>Achievement Preparatory Academy PCS</t>
  </si>
  <si>
    <t>Academy of Hope Adult PCS</t>
  </si>
  <si>
    <t>LEA ID</t>
  </si>
  <si>
    <t>LEA</t>
  </si>
  <si>
    <t>Select your LEA from the dropdown menu in cell B2 above and this automatically will populate cell C2.</t>
  </si>
  <si>
    <r>
      <t xml:space="preserve">Resave this file as </t>
    </r>
    <r>
      <rPr>
        <b/>
        <i/>
        <sz val="10"/>
        <color theme="1"/>
        <rFont val="Times New Roman"/>
        <family val="1"/>
      </rPr>
      <t xml:space="preserve">FY22 Budget </t>
    </r>
    <r>
      <rPr>
        <b/>
        <i/>
        <sz val="10"/>
        <color rgb="FFFF40FF"/>
        <rFont val="Times New Roman"/>
        <family val="1"/>
      </rPr>
      <t>LEA NAME</t>
    </r>
    <r>
      <rPr>
        <b/>
        <i/>
        <sz val="10"/>
        <color theme="1"/>
        <rFont val="Times New Roman"/>
        <family val="1"/>
      </rPr>
      <t>.xlsx</t>
    </r>
    <r>
      <rPr>
        <sz val="10"/>
        <color theme="1"/>
        <rFont val="Times New Roman"/>
        <family val="1"/>
      </rPr>
      <t xml:space="preserve">, with </t>
    </r>
    <r>
      <rPr>
        <sz val="10"/>
        <color rgb="FFFF40FF"/>
        <rFont val="Times New Roman"/>
        <family val="1"/>
      </rPr>
      <t>LEA NAME</t>
    </r>
    <r>
      <rPr>
        <sz val="10"/>
        <color theme="1"/>
        <rFont val="Times New Roman"/>
        <family val="1"/>
      </rPr>
      <t xml:space="preserve"> the exact name of the LEA in cell B2 above.</t>
    </r>
  </si>
  <si>
    <t>Resave this file.</t>
  </si>
  <si>
    <t>By July 28, 2021, upload this file to the Hub, validate it is saved in the Hub, and mark the budget task complete.</t>
  </si>
  <si>
    <t>INSTRUCTIONS TO BE FOLLOWED SEQUENTIALLY</t>
  </si>
  <si>
    <t>Enter the LEA contact name, email address, and phone number to replace the text in cells B4, B5, and B6 above.</t>
  </si>
  <si>
    <t>Complete Enrollments worksheet by entering LEA's FY22 budgeted enrollment data in the blue-filled cells.</t>
  </si>
  <si>
    <t>Complete FY22 Annual Budget worksheet by entering LEA's FY22 budgeted amounts in the blue-filled cells.</t>
  </si>
  <si>
    <t>Review all data entered to be certain that it agrees by category and in total with your internal FY22 budget.</t>
  </si>
  <si>
    <t>If you have any questions, please contact the DC PCSB Director of Finance.</t>
  </si>
  <si>
    <t>Projected</t>
  </si>
  <si>
    <t>Sarah Lewis</t>
  </si>
  <si>
    <t xml:space="preserve">slewis@achievementprep.org </t>
  </si>
  <si>
    <t>202-562-1307</t>
  </si>
  <si>
    <t>Enrollment:</t>
  </si>
  <si>
    <t>FY22 Annual Budget</t>
  </si>
  <si>
    <t>Variability</t>
  </si>
  <si>
    <t>Fixed</t>
  </si>
  <si>
    <t>Variable</t>
  </si>
  <si>
    <t>Variable $</t>
  </si>
  <si>
    <t>Pro Forma</t>
  </si>
  <si>
    <t>Assumption</t>
  </si>
  <si>
    <t>$</t>
  </si>
  <si>
    <t>Per Student</t>
  </si>
  <si>
    <t>Breakeven</t>
  </si>
  <si>
    <t>Estimate</t>
  </si>
  <si>
    <t>Hold Harmless</t>
  </si>
  <si>
    <t>FY 2020 Payment</t>
  </si>
  <si>
    <t>95% of FY 2020 Payment</t>
  </si>
  <si>
    <t>Personnel</t>
  </si>
  <si>
    <t>FY 2022 Payment based on Prelim Numbers</t>
  </si>
  <si>
    <t>Direct Student</t>
  </si>
  <si>
    <t>Eligible for HH?</t>
  </si>
  <si>
    <t>Legal, Acctg, P/R</t>
  </si>
  <si>
    <t>Amount Subsidized with HH</t>
  </si>
  <si>
    <t>Admin. Fee</t>
  </si>
  <si>
    <t>Total expenses excluding depreciation</t>
  </si>
  <si>
    <t>Net operating cash flow</t>
  </si>
  <si>
    <t>Borrowing (repayment) of loans and other financing activities</t>
  </si>
  <si>
    <t>Change in cash</t>
  </si>
  <si>
    <t>Beginning cash balance</t>
  </si>
  <si>
    <t>Ending cash balance</t>
  </si>
  <si>
    <t>Days cash on hand</t>
  </si>
  <si>
    <t>Beginning Working Capital</t>
  </si>
  <si>
    <t>Ending Working Capital (assuming only cash changes)</t>
  </si>
  <si>
    <t>Stabilization Factor</t>
  </si>
  <si>
    <t>HH Individual School Amount by Stabilization Factor</t>
  </si>
  <si>
    <t>Estimate with 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</si>
</sst>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00_);_(* \(#,##0.00\);_(* &quot;-&quot;??_);_(* @_)"/>
    <numFmt numFmtId="165" formatCode="#,##0.0000_);[Red]\(#,##0.0000\)"/>
    <numFmt numFmtId="166" formatCode="0.0000%"/>
    <numFmt numFmtId="167" formatCode="#,##0.00\d_);[Red]\(#,##0.00\d\)"/>
    <numFmt numFmtId="168" formatCode="#,##0.00\x_);[Red]\(#,##0.00\x\)"/>
    <numFmt numFmtId="169" formatCode="#,##0.00%_);[Red]\(#,##0.00%\)"/>
    <numFmt numFmtId="170" formatCode="[$USD]\ #,##0.00_);[Red]\([$USD]\ #,##0.00\)"/>
    <numFmt numFmtId="171" formatCode="_(* #,##0_);[Red]_(* \(#,##0\);_(* &quot;-&quot;_);_(@_)"/>
    <numFmt numFmtId="172" formatCode="_(* #,##0%_);[Red]_(* \(#,##0%\);_(* &quot;-&quot;_);_(@_)"/>
    <numFmt numFmtId="173" formatCode="_(* #,##0_);_(* \(#,##0\);_(* &quot;-&quot;??_);_(@_)"/>
  </numFmts>
  <fonts count="81">
    <font>
      <sz val="11"/>
      <color theme="1"/>
      <name val="Calibri"/>
      <family val="2"/>
      <scheme val="minor"/>
    </font>
    <font>
      <sz val="11"/>
      <color theme="1"/>
      <name val="Montserrat"/>
      <family val="2"/>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10"/>
      <color theme="1"/>
      <name val="Times New Roman"/>
      <family val="1"/>
    </font>
    <font>
      <sz val="8"/>
      <name val="Calibri"/>
      <family val="2"/>
      <scheme val="minor"/>
    </font>
    <font>
      <sz val="9"/>
      <color rgb="FF000000"/>
      <name val="Tahoma"/>
      <family val="2"/>
    </font>
    <font>
      <b/>
      <sz val="16"/>
      <color theme="1"/>
      <name val="Times New Roman"/>
      <family val="1"/>
    </font>
    <font>
      <b/>
      <sz val="12"/>
      <color theme="1"/>
      <name val="Times New Roman"/>
      <family val="1"/>
    </font>
    <font>
      <sz val="10"/>
      <color rgb="FFFF0000"/>
      <name val="Times New Roman"/>
      <family val="1"/>
    </font>
    <font>
      <sz val="10"/>
      <color rgb="FFFF40FF"/>
      <name val="Times New Roman"/>
      <family val="1"/>
    </font>
    <font>
      <b/>
      <i/>
      <sz val="10"/>
      <color theme="1"/>
      <name val="Times New Roman"/>
      <family val="1"/>
    </font>
    <font>
      <b/>
      <i/>
      <sz val="10"/>
      <color rgb="FFFF40FF"/>
      <name val="Times New Roman"/>
      <family val="1"/>
    </font>
    <font>
      <b/>
      <sz val="16"/>
      <color rgb="FFFF0000"/>
      <name val="Times New Roman"/>
      <family val="1"/>
    </font>
    <font>
      <b/>
      <sz val="10"/>
      <color rgb="FFFF0000"/>
      <name val="Times New Roman"/>
      <family val="1"/>
    </font>
    <font>
      <b/>
      <sz val="11"/>
      <color theme="1"/>
      <name val="Calibri"/>
      <family val="2"/>
      <scheme val="minor"/>
    </font>
    <font>
      <b/>
      <sz val="11"/>
      <color rgb="FF0432FF"/>
      <name val="Calibri"/>
      <family val="2"/>
      <scheme val="minor"/>
    </font>
    <font>
      <b/>
      <sz val="10"/>
      <color indexed="10"/>
      <name val="Times New Roman"/>
      <family val="1"/>
    </font>
    <font>
      <sz val="11"/>
      <color theme="9" tint="-0.499984740745262"/>
      <name val="Calibri"/>
      <family val="2"/>
      <scheme val="minor"/>
    </font>
    <font>
      <sz val="11"/>
      <color rgb="FF0432FF"/>
      <name val="Calibri"/>
      <family val="2"/>
      <scheme val="minor"/>
    </font>
    <font>
      <sz val="11"/>
      <name val="Montserrat Regular"/>
    </font>
    <font>
      <sz val="11"/>
      <name val="Calibri"/>
      <family val="2"/>
      <scheme val="minor"/>
    </font>
  </fonts>
  <fills count="6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rgb="FF00FA00"/>
        <bgColor indexed="64"/>
      </patternFill>
    </fill>
  </fills>
  <borders count="33">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rgb="FF0432FF"/>
      </left>
      <right style="dotted">
        <color rgb="FF0432FF"/>
      </right>
      <top style="dotted">
        <color rgb="FF0432FF"/>
      </top>
      <bottom style="dotted">
        <color rgb="FF0432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medium">
        <color theme="1"/>
      </bottom>
      <diagonal/>
    </border>
    <border>
      <left/>
      <right/>
      <top/>
      <bottom style="double">
        <color indexed="64"/>
      </bottom>
      <diagonal/>
    </border>
    <border>
      <left/>
      <right/>
      <top style="thin">
        <color indexed="64"/>
      </top>
      <bottom style="double">
        <color indexed="64"/>
      </bottom>
      <diagonal/>
    </border>
  </borders>
  <cellStyleXfs count="983">
    <xf numFmtId="0" fontId="0" fillId="0" borderId="0"/>
    <xf numFmtId="43" fontId="5"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7"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4" fillId="0" borderId="0"/>
    <xf numFmtId="0" fontId="3" fillId="0" borderId="0"/>
    <xf numFmtId="44" fontId="4" fillId="0" borderId="0" applyFont="0" applyFill="0" applyBorder="0" applyAlignment="0" applyProtection="0"/>
    <xf numFmtId="0" fontId="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22" fillId="13"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2" fillId="17"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2" fillId="21"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2" fillId="2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2" fillId="10"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2" fillId="1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2" fillId="1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2" fillId="2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0"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13" fillId="4"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7" fillId="7" borderId="8"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1" fillId="0" borderId="0" applyAlignment="0"/>
    <xf numFmtId="0" fontId="19" fillId="8" borderId="11" applyNumberFormat="0" applyAlignment="0" applyProtection="0"/>
    <xf numFmtId="0" fontId="32" fillId="54" borderId="14" applyNumberFormat="0" applyAlignment="0" applyProtection="0"/>
    <xf numFmtId="0" fontId="32" fillId="54" borderId="14" applyNumberFormat="0" applyAlignment="0" applyProtection="0"/>
    <xf numFmtId="0" fontId="32" fillId="54" borderId="14" applyNumberFormat="0" applyAlignment="0" applyProtection="0"/>
    <xf numFmtId="0" fontId="33" fillId="55" borderId="0" applyAlignment="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0" fontId="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37" fillId="0" borderId="0" applyFill="0" applyBorder="0" applyProtection="0"/>
    <xf numFmtId="166" fontId="37" fillId="0" borderId="0" applyFill="0" applyBorder="0" applyProtection="0"/>
    <xf numFmtId="167" fontId="38" fillId="0" borderId="0" applyFill="0" applyBorder="0" applyProtection="0"/>
    <xf numFmtId="168" fontId="38" fillId="0" borderId="0" applyFill="0" applyBorder="0" applyProtection="0"/>
    <xf numFmtId="40" fontId="38" fillId="0" borderId="0" applyFill="0" applyBorder="0" applyProtection="0"/>
    <xf numFmtId="169" fontId="38" fillId="0" borderId="0" applyFill="0" applyBorder="0" applyProtection="0"/>
    <xf numFmtId="0" fontId="38" fillId="0" borderId="0" applyNumberFormat="0" applyFill="0" applyBorder="0" applyProtection="0"/>
    <xf numFmtId="1" fontId="37" fillId="0" borderId="0" applyFill="0" applyBorder="0" applyProtection="0">
      <alignment horizontal="center"/>
    </xf>
    <xf numFmtId="167" fontId="37" fillId="0" borderId="0" applyFill="0" applyBorder="0" applyProtection="0"/>
    <xf numFmtId="0" fontId="39" fillId="0" borderId="0" applyNumberFormat="0" applyFill="0" applyBorder="0" applyProtection="0"/>
    <xf numFmtId="0" fontId="37" fillId="0" borderId="0" applyNumberFormat="0" applyFill="0" applyBorder="0" applyAlignment="0" applyProtection="0"/>
    <xf numFmtId="168" fontId="37" fillId="0" borderId="0" applyFill="0" applyBorder="0" applyProtection="0"/>
    <xf numFmtId="40" fontId="37" fillId="0" borderId="0" applyFill="0" applyBorder="0" applyProtection="0"/>
    <xf numFmtId="0" fontId="12" fillId="3"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169" fontId="37" fillId="0" borderId="0" applyFill="0" applyBorder="0" applyProtection="0"/>
    <xf numFmtId="0" fontId="37" fillId="0" borderId="0" applyNumberFormat="0" applyFill="0" applyBorder="0" applyProtection="0"/>
    <xf numFmtId="170" fontId="37" fillId="0" borderId="0" applyFill="0" applyBorder="0" applyProtection="0">
      <alignment horizontal="right"/>
    </xf>
    <xf numFmtId="0" fontId="9" fillId="0" borderId="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10" fillId="0" borderId="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1" fillId="0" borderId="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1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6" borderId="8"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5" fillId="0" borderId="0" applyAlignment="0"/>
    <xf numFmtId="0" fontId="18" fillId="0" borderId="10"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14" fillId="5"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8" fillId="57" borderId="0" applyAlignment="0"/>
    <xf numFmtId="0" fontId="49" fillId="34" borderId="0" applyAlignment="0"/>
    <xf numFmtId="0" fontId="50" fillId="0" borderId="0" applyAlignment="0"/>
    <xf numFmtId="0" fontId="2" fillId="0" borderId="0"/>
    <xf numFmtId="0" fontId="34" fillId="0" borderId="0"/>
    <xf numFmtId="0" fontId="3" fillId="0" borderId="0"/>
    <xf numFmtId="0" fontId="3" fillId="0" borderId="0"/>
    <xf numFmtId="0" fontId="4" fillId="0" borderId="0"/>
    <xf numFmtId="0" fontId="35"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2" fillId="0" borderId="0"/>
    <xf numFmtId="0" fontId="3" fillId="0" borderId="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16" fillId="7" borderId="9"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9" fontId="4"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0" fontId="52" fillId="59" borderId="0" applyAlignment="0"/>
    <xf numFmtId="0" fontId="53" fillId="0" borderId="0" applyAlignment="0"/>
    <xf numFmtId="0" fontId="54" fillId="0" borderId="0" applyAlignment="0"/>
    <xf numFmtId="0" fontId="55" fillId="0" borderId="0" applyAlignment="0"/>
    <xf numFmtId="0" fontId="56" fillId="0" borderId="0" applyAlignment="0"/>
    <xf numFmtId="0" fontId="57" fillId="0" borderId="0" applyAlignment="0"/>
    <xf numFmtId="0" fontId="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Alignment="0"/>
    <xf numFmtId="0" fontId="55" fillId="0" borderId="0" applyAlignment="0">
      <alignment wrapText="1"/>
    </xf>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2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cellStyleXfs>
  <cellXfs count="99">
    <xf numFmtId="0" fontId="0" fillId="0" borderId="0" xfId="0"/>
    <xf numFmtId="0" fontId="63" fillId="0" borderId="0" xfId="0" applyFont="1"/>
    <xf numFmtId="0" fontId="67" fillId="0" borderId="0" xfId="0" applyFont="1" applyProtection="1">
      <protection locked="0"/>
    </xf>
    <xf numFmtId="0" fontId="63" fillId="0" borderId="0" xfId="0" applyFont="1" applyProtection="1">
      <protection locked="0"/>
    </xf>
    <xf numFmtId="3" fontId="23" fillId="0" borderId="0" xfId="29" applyNumberFormat="1" applyFont="1"/>
    <xf numFmtId="3" fontId="4" fillId="0" borderId="0" xfId="29" applyNumberFormat="1" applyFont="1"/>
    <xf numFmtId="3" fontId="23" fillId="0" borderId="0" xfId="28" applyNumberFormat="1" applyFont="1"/>
    <xf numFmtId="3" fontId="25" fillId="0" borderId="0" xfId="28" applyNumberFormat="1" applyFont="1"/>
    <xf numFmtId="3" fontId="4" fillId="0" borderId="0" xfId="28" applyNumberFormat="1"/>
    <xf numFmtId="3" fontId="26" fillId="0" borderId="0" xfId="28" applyNumberFormat="1" applyFont="1"/>
    <xf numFmtId="3" fontId="23" fillId="0" borderId="22" xfId="28" applyNumberFormat="1" applyFont="1" applyBorder="1"/>
    <xf numFmtId="3" fontId="4" fillId="0" borderId="22" xfId="28" applyNumberFormat="1" applyBorder="1"/>
    <xf numFmtId="3" fontId="23" fillId="0" borderId="22" xfId="28" applyNumberFormat="1" applyFont="1" applyBorder="1" applyAlignment="1">
      <alignment wrapText="1"/>
    </xf>
    <xf numFmtId="3" fontId="26" fillId="0" borderId="22" xfId="28" applyNumberFormat="1" applyFont="1" applyBorder="1"/>
    <xf numFmtId="3" fontId="4" fillId="0" borderId="22" xfId="28" applyNumberFormat="1" applyBorder="1" applyAlignment="1">
      <alignment horizontal="left"/>
    </xf>
    <xf numFmtId="3" fontId="23" fillId="0" borderId="22" xfId="28" applyNumberFormat="1" applyFont="1" applyBorder="1" applyAlignment="1">
      <alignment horizontal="left"/>
    </xf>
    <xf numFmtId="3" fontId="25" fillId="0" borderId="0" xfId="28" applyNumberFormat="1" applyFont="1" applyAlignment="1">
      <alignment horizontal="left"/>
    </xf>
    <xf numFmtId="3" fontId="68" fillId="0" borderId="22" xfId="28" applyNumberFormat="1" applyFont="1" applyBorder="1"/>
    <xf numFmtId="3" fontId="26" fillId="0" borderId="22" xfId="28" applyNumberFormat="1" applyFont="1" applyBorder="1" applyAlignment="1">
      <alignment horizontal="left"/>
    </xf>
    <xf numFmtId="3" fontId="23" fillId="0" borderId="23" xfId="28" applyNumberFormat="1" applyFont="1" applyBorder="1" applyAlignment="1">
      <alignment wrapText="1"/>
    </xf>
    <xf numFmtId="38" fontId="4" fillId="0" borderId="0" xfId="29" applyNumberFormat="1" applyFont="1" applyAlignment="1">
      <alignment horizontal="center"/>
    </xf>
    <xf numFmtId="38" fontId="68" fillId="0" borderId="0" xfId="29" applyNumberFormat="1" applyFont="1" applyAlignment="1">
      <alignment horizontal="center"/>
    </xf>
    <xf numFmtId="38" fontId="23" fillId="0" borderId="0" xfId="28" applyNumberFormat="1" applyFont="1" applyAlignment="1">
      <alignment horizontal="center"/>
    </xf>
    <xf numFmtId="38" fontId="23" fillId="0" borderId="0" xfId="30" applyNumberFormat="1" applyFont="1" applyFill="1" applyAlignment="1">
      <alignment horizontal="center"/>
    </xf>
    <xf numFmtId="38" fontId="23" fillId="0" borderId="22" xfId="28" applyNumberFormat="1" applyFont="1" applyBorder="1" applyAlignment="1">
      <alignment wrapText="1"/>
    </xf>
    <xf numFmtId="38" fontId="23" fillId="0" borderId="22" xfId="28" applyNumberFormat="1" applyFont="1" applyBorder="1" applyAlignment="1">
      <alignment horizontal="center" wrapText="1"/>
    </xf>
    <xf numFmtId="38" fontId="23" fillId="0" borderId="22" xfId="28" applyNumberFormat="1" applyFont="1" applyBorder="1" applyAlignment="1">
      <alignment horizontal="center"/>
    </xf>
    <xf numFmtId="38" fontId="25" fillId="0" borderId="0" xfId="28" applyNumberFormat="1" applyFont="1" applyAlignment="1">
      <alignment horizontal="center"/>
    </xf>
    <xf numFmtId="38" fontId="4" fillId="0" borderId="0" xfId="28" applyNumberFormat="1" applyAlignment="1">
      <alignment horizontal="center"/>
    </xf>
    <xf numFmtId="38" fontId="27" fillId="0" borderId="0" xfId="28" applyNumberFormat="1" applyFont="1" applyAlignment="1">
      <alignment horizontal="center"/>
    </xf>
    <xf numFmtId="38" fontId="24" fillId="0" borderId="0" xfId="28" applyNumberFormat="1" applyFont="1" applyAlignment="1">
      <alignment horizontal="center"/>
    </xf>
    <xf numFmtId="38" fontId="4" fillId="0" borderId="22" xfId="28" applyNumberFormat="1" applyBorder="1" applyAlignment="1">
      <alignment horizontal="center"/>
    </xf>
    <xf numFmtId="38" fontId="4" fillId="2" borderId="22" xfId="28" applyNumberFormat="1" applyFill="1" applyBorder="1" applyAlignment="1" applyProtection="1">
      <alignment horizontal="center"/>
      <protection locked="0"/>
    </xf>
    <xf numFmtId="38" fontId="23" fillId="2" borderId="22" xfId="28" applyNumberFormat="1" applyFont="1" applyFill="1" applyBorder="1" applyAlignment="1" applyProtection="1">
      <alignment horizontal="center"/>
      <protection locked="0"/>
    </xf>
    <xf numFmtId="171" fontId="23" fillId="0" borderId="0" xfId="2" applyNumberFormat="1" applyFont="1"/>
    <xf numFmtId="171" fontId="4" fillId="0" borderId="0" xfId="2" applyNumberFormat="1" applyFont="1"/>
    <xf numFmtId="171" fontId="62" fillId="0" borderId="0" xfId="2" applyNumberFormat="1" applyFont="1"/>
    <xf numFmtId="171" fontId="23" fillId="0" borderId="1" xfId="2" applyNumberFormat="1" applyFont="1" applyBorder="1" applyAlignment="1">
      <alignment horizontal="center"/>
    </xf>
    <xf numFmtId="171" fontId="23" fillId="0" borderId="0" xfId="2" applyNumberFormat="1" applyFont="1" applyAlignment="1">
      <alignment horizontal="center"/>
    </xf>
    <xf numFmtId="171" fontId="4" fillId="0" borderId="2" xfId="2" applyNumberFormat="1" applyFont="1" applyBorder="1" applyAlignment="1">
      <alignment horizontal="center"/>
    </xf>
    <xf numFmtId="171" fontId="4" fillId="0" borderId="0" xfId="2" applyNumberFormat="1" applyFont="1" applyAlignment="1">
      <alignment horizontal="center"/>
    </xf>
    <xf numFmtId="171" fontId="4" fillId="0" borderId="0" xfId="1" applyNumberFormat="1" applyFont="1" applyFill="1" applyBorder="1" applyAlignment="1">
      <alignment horizontal="center"/>
    </xf>
    <xf numFmtId="171" fontId="4" fillId="0" borderId="2" xfId="2" applyNumberFormat="1" applyFont="1" applyBorder="1"/>
    <xf numFmtId="171" fontId="23" fillId="0" borderId="3" xfId="2" applyNumberFormat="1" applyFont="1" applyBorder="1"/>
    <xf numFmtId="171" fontId="23" fillId="0" borderId="3" xfId="1" applyNumberFormat="1" applyFont="1" applyFill="1" applyBorder="1"/>
    <xf numFmtId="171" fontId="23" fillId="0" borderId="0" xfId="1" applyNumberFormat="1" applyFont="1" applyFill="1" applyBorder="1"/>
    <xf numFmtId="171" fontId="62" fillId="0" borderId="0" xfId="1" applyNumberFormat="1" applyFont="1" applyBorder="1"/>
    <xf numFmtId="171" fontId="4" fillId="0" borderId="0" xfId="1" applyNumberFormat="1" applyFont="1"/>
    <xf numFmtId="171" fontId="26" fillId="0" borderId="0" xfId="2" applyNumberFormat="1" applyFont="1"/>
    <xf numFmtId="171" fontId="4" fillId="0" borderId="0" xfId="1" applyNumberFormat="1" applyFont="1" applyFill="1" applyBorder="1"/>
    <xf numFmtId="171" fontId="4" fillId="0" borderId="0" xfId="1" applyNumberFormat="1" applyFont="1" applyBorder="1"/>
    <xf numFmtId="171" fontId="23" fillId="0" borderId="1" xfId="2" applyNumberFormat="1" applyFont="1" applyBorder="1"/>
    <xf numFmtId="171" fontId="23" fillId="0" borderId="2" xfId="2" applyNumberFormat="1" applyFont="1" applyBorder="1"/>
    <xf numFmtId="171" fontId="23" fillId="0" borderId="3" xfId="980" applyNumberFormat="1" applyFont="1" applyFill="1" applyBorder="1"/>
    <xf numFmtId="171" fontId="23" fillId="0" borderId="0" xfId="980" applyNumberFormat="1" applyFont="1" applyFill="1" applyBorder="1"/>
    <xf numFmtId="171" fontId="62" fillId="0" borderId="0" xfId="980" applyNumberFormat="1" applyFont="1" applyBorder="1"/>
    <xf numFmtId="172" fontId="4" fillId="0" borderId="0" xfId="2" applyNumberFormat="1" applyFont="1"/>
    <xf numFmtId="171" fontId="4" fillId="0" borderId="1" xfId="2" applyNumberFormat="1" applyFont="1" applyBorder="1"/>
    <xf numFmtId="171" fontId="4" fillId="0" borderId="3" xfId="980" applyNumberFormat="1" applyFont="1" applyBorder="1"/>
    <xf numFmtId="172" fontId="4" fillId="0" borderId="2" xfId="2" applyNumberFormat="1" applyFont="1" applyBorder="1"/>
    <xf numFmtId="171" fontId="4" fillId="2" borderId="4" xfId="1" applyNumberFormat="1" applyFont="1" applyFill="1" applyBorder="1" applyAlignment="1" applyProtection="1">
      <alignment horizontal="center"/>
      <protection locked="0"/>
    </xf>
    <xf numFmtId="171" fontId="4" fillId="2" borderId="4" xfId="1" applyNumberFormat="1" applyFont="1" applyFill="1" applyBorder="1" applyProtection="1">
      <protection locked="0"/>
    </xf>
    <xf numFmtId="0" fontId="1" fillId="0" borderId="0" xfId="981"/>
    <xf numFmtId="0" fontId="63" fillId="0" borderId="0" xfId="0" applyFont="1" applyAlignment="1">
      <alignment horizontal="center"/>
    </xf>
    <xf numFmtId="0" fontId="66" fillId="0" borderId="0" xfId="0" applyFont="1" applyAlignment="1">
      <alignment horizontal="center"/>
    </xf>
    <xf numFmtId="171" fontId="4" fillId="0" borderId="2" xfId="2" applyNumberFormat="1" applyFont="1" applyBorder="1" applyAlignment="1" applyProtection="1">
      <alignment horizontal="center"/>
      <protection locked="0"/>
    </xf>
    <xf numFmtId="171" fontId="0" fillId="0" borderId="0" xfId="0" applyNumberFormat="1"/>
    <xf numFmtId="171" fontId="74" fillId="0" borderId="0" xfId="0" applyNumberFormat="1" applyFont="1"/>
    <xf numFmtId="171" fontId="75" fillId="0" borderId="25" xfId="0" applyNumberFormat="1" applyFont="1" applyBorder="1"/>
    <xf numFmtId="172" fontId="0" fillId="0" borderId="0" xfId="0" applyNumberFormat="1"/>
    <xf numFmtId="171" fontId="76" fillId="0" borderId="0" xfId="2" applyNumberFormat="1" applyFont="1" applyAlignment="1">
      <alignment horizontal="center"/>
    </xf>
    <xf numFmtId="171" fontId="74" fillId="0" borderId="0" xfId="0" applyNumberFormat="1" applyFont="1" applyAlignment="1">
      <alignment horizontal="center"/>
    </xf>
    <xf numFmtId="172" fontId="74" fillId="0" borderId="0" xfId="0" applyNumberFormat="1" applyFont="1" applyAlignment="1">
      <alignment horizontal="center"/>
    </xf>
    <xf numFmtId="171" fontId="74" fillId="0" borderId="29" xfId="0" applyNumberFormat="1" applyFont="1" applyBorder="1" applyAlignment="1">
      <alignment horizontal="center"/>
    </xf>
    <xf numFmtId="172" fontId="74" fillId="0" borderId="29" xfId="0" applyNumberFormat="1" applyFont="1" applyBorder="1" applyAlignment="1">
      <alignment horizontal="center"/>
    </xf>
    <xf numFmtId="173" fontId="0" fillId="0" borderId="0" xfId="1" applyNumberFormat="1" applyFont="1"/>
    <xf numFmtId="171" fontId="0" fillId="0" borderId="0" xfId="0" applyNumberFormat="1" applyAlignment="1">
      <alignment horizontal="right"/>
    </xf>
    <xf numFmtId="171" fontId="77" fillId="0" borderId="0" xfId="0" applyNumberFormat="1" applyFont="1"/>
    <xf numFmtId="171" fontId="0" fillId="0" borderId="27" xfId="0" applyNumberFormat="1" applyBorder="1"/>
    <xf numFmtId="171" fontId="78" fillId="0" borderId="0" xfId="0" applyNumberFormat="1" applyFont="1"/>
    <xf numFmtId="171" fontId="0" fillId="0" borderId="2" xfId="0" applyNumberFormat="1" applyBorder="1"/>
    <xf numFmtId="171" fontId="0" fillId="0" borderId="31" xfId="0" applyNumberFormat="1" applyBorder="1"/>
    <xf numFmtId="171" fontId="79" fillId="0" borderId="0" xfId="2" applyNumberFormat="1" applyFont="1"/>
    <xf numFmtId="171" fontId="78" fillId="0" borderId="25" xfId="0" applyNumberFormat="1" applyFont="1" applyBorder="1"/>
    <xf numFmtId="171" fontId="80" fillId="0" borderId="0" xfId="0" applyNumberFormat="1" applyFont="1"/>
    <xf numFmtId="171" fontId="0" fillId="0" borderId="32" xfId="0" applyNumberFormat="1" applyBorder="1"/>
    <xf numFmtId="171" fontId="0" fillId="60" borderId="32" xfId="0" applyNumberFormat="1" applyFill="1" applyBorder="1"/>
    <xf numFmtId="9" fontId="0" fillId="0" borderId="0" xfId="982" applyFont="1" applyFill="1"/>
    <xf numFmtId="0" fontId="72" fillId="0" borderId="0" xfId="0" applyFont="1" applyAlignment="1">
      <alignment horizontal="center"/>
    </xf>
    <xf numFmtId="0" fontId="73" fillId="0" borderId="0" xfId="0" applyFont="1" applyAlignment="1">
      <alignment horizontal="center"/>
    </xf>
    <xf numFmtId="38" fontId="4" fillId="0" borderId="23" xfId="28" applyNumberFormat="1" applyBorder="1" applyAlignment="1">
      <alignment horizontal="center"/>
    </xf>
    <xf numFmtId="38" fontId="4" fillId="0" borderId="24" xfId="28" applyNumberFormat="1" applyBorder="1" applyAlignment="1">
      <alignment horizontal="center"/>
    </xf>
    <xf numFmtId="38" fontId="4" fillId="2" borderId="23" xfId="28" applyNumberFormat="1" applyFill="1" applyBorder="1" applyAlignment="1" applyProtection="1">
      <alignment horizontal="center" vertical="center"/>
      <protection locked="0"/>
    </xf>
    <xf numFmtId="38" fontId="4" fillId="2" borderId="24" xfId="28" applyNumberFormat="1" applyFill="1" applyBorder="1" applyAlignment="1" applyProtection="1">
      <alignment horizontal="center" vertical="center"/>
      <protection locked="0"/>
    </xf>
    <xf numFmtId="171" fontId="23" fillId="0" borderId="2" xfId="2" applyNumberFormat="1" applyFont="1" applyBorder="1" applyAlignment="1">
      <alignment horizontal="center"/>
    </xf>
    <xf numFmtId="171" fontId="74" fillId="0" borderId="26" xfId="0" applyNumberFormat="1" applyFont="1" applyBorder="1" applyAlignment="1">
      <alignment horizontal="center"/>
    </xf>
    <xf numFmtId="171" fontId="74" fillId="0" borderId="27" xfId="0" applyNumberFormat="1" applyFont="1" applyBorder="1" applyAlignment="1">
      <alignment horizontal="center"/>
    </xf>
    <xf numFmtId="171" fontId="74" fillId="0" borderId="28" xfId="0" applyNumberFormat="1" applyFont="1" applyBorder="1" applyAlignment="1">
      <alignment horizontal="center"/>
    </xf>
    <xf numFmtId="171" fontId="74" fillId="0" borderId="30" xfId="0" applyNumberFormat="1" applyFont="1" applyBorder="1" applyAlignment="1">
      <alignment horizontal="center"/>
    </xf>
  </cellXfs>
  <cellStyles count="983">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12" xfId="981" xr:uid="{15EE7CDA-BD74-F144-A340-955BB06BFCCA}"/>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xfId="982" builtinId="5"/>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8">
    <dxf>
      <font>
        <color rgb="FF006100"/>
      </font>
      <fill>
        <patternFill>
          <bgColor rgb="FFC6EFCE"/>
        </patternFill>
      </fill>
    </dxf>
    <dxf>
      <font>
        <color rgb="FF9C0006"/>
      </font>
      <fill>
        <patternFill>
          <bgColor rgb="FFFFC7CE"/>
        </patternFill>
      </fill>
    </dxf>
    <dxf>
      <fill>
        <patternFill>
          <bgColor rgb="FFFFFF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304800" cy="304800"/>
    <xdr:sp macro="" textlink="">
      <xdr:nvSpPr>
        <xdr:cNvPr id="5" name="AutoShape 8" descr="Image result for dc pcsb">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ample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dcpcsb/Shared/Finance/School%20Finance/Budgets%20FY22/FY22%20Budgets%20of%20Schools%20with%20Less%2010%25%20than%20Projected/Weekly%20Enrollment%20Updated%20File%202021-1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 Summary with HH"/>
      <sheetName val="LEA Summary"/>
      <sheetName val="Summary"/>
      <sheetName val="Enrollment Ceilings (LEA)"/>
      <sheetName val="Grade Level Enrollment"/>
      <sheetName val="9 30 Update"/>
      <sheetName val="10 05 Update"/>
    </sheetNames>
    <sheetDataSet>
      <sheetData sheetId="0">
        <row r="3">
          <cell r="R3">
            <v>0.62859441966057594</v>
          </cell>
        </row>
      </sheetData>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Michael Bayuk" id="{F517900A-D88F-D04E-8C4E-38D8A18CFE41}" userId="S::mbayuk@dcpcsb.org::889b626b-426a-4120-b1d6-b1c19d7e68f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5C93E1-913C-5348-996B-3EA43DEE8909}" name="LEA_List" displayName="LEA_List" ref="A1:B74" totalsRowShown="0">
  <autoFilter ref="A1:B74" xr:uid="{04795E00-C7E0-0D4B-B5D6-3640B9FB4DB5}"/>
  <tableColumns count="2">
    <tableColumn id="1" xr3:uid="{252597A3-02A9-614E-96A3-F886EF129F9F}" name="LEA"/>
    <tableColumn id="2" xr3:uid="{A944D86B-F8DA-9447-92DE-5B26A0565D47}" name="LEA 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1-07-22T18:26:09.14" personId="{F517900A-D88F-D04E-8C4E-38D8A18CFE41}" id="{1FE4C607-D3B2-4141-95A9-0261E665AD90}">
    <text>If “Budget” is selected, the amounts in this column should tie to the amounts in the published FY21 Budget. If “Projected” is selected, the amounts in this column should be the latest projected amounts you have for FY21.</text>
  </threadedComment>
</ThreadedComments>
</file>

<file path=xl/threadedComments/threadedComment2.xml><?xml version="1.0" encoding="utf-8"?>
<ThreadedComments xmlns="http://schemas.microsoft.com/office/spreadsheetml/2018/threadedcomments" xmlns:x="http://schemas.openxmlformats.org/spreadsheetml/2006/main">
  <threadedComment ref="G10" dT="2021-09-28T18:52:24.46" personId="{F517900A-D88F-D04E-8C4E-38D8A18CFE41}" id="{5F89B4C2-4396-A840-B060-951B829BDA80}">
    <text>Imputed PPP and ESSER</text>
  </threadedComment>
  <threadedComment ref="D38" dT="2021-09-28T19:12:16.74" personId="{F517900A-D88F-D04E-8C4E-38D8A18CFE41}" id="{93C67EAF-7A84-C547-848F-C18146020386}">
    <text>Change to Variable if rent is per pupil</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C20"/>
  <sheetViews>
    <sheetView showGridLines="0" zoomScale="150" zoomScaleNormal="150" zoomScaleSheetLayoutView="100" workbookViewId="0">
      <selection activeCell="B1" sqref="B1"/>
    </sheetView>
  </sheetViews>
  <sheetFormatPr baseColWidth="10" defaultColWidth="9.1640625" defaultRowHeight="13"/>
  <cols>
    <col min="1" max="1" width="2.6640625" style="1" customWidth="1"/>
    <col min="2" max="2" width="81.83203125" style="1" bestFit="1" customWidth="1"/>
    <col min="3" max="16384" width="9.1640625" style="1"/>
  </cols>
  <sheetData>
    <row r="1" spans="1:3" ht="20">
      <c r="B1" s="64" t="s">
        <v>110</v>
      </c>
      <c r="C1" s="63" t="s">
        <v>204</v>
      </c>
    </row>
    <row r="2" spans="1:3" ht="16">
      <c r="B2" s="2" t="s">
        <v>202</v>
      </c>
      <c r="C2" s="63">
        <f>VLOOKUP(B2,LEA_List[],2,FALSE)</f>
        <v>155</v>
      </c>
    </row>
    <row r="4" spans="1:3">
      <c r="B4" s="3" t="s">
        <v>217</v>
      </c>
    </row>
    <row r="5" spans="1:3">
      <c r="B5" s="3" t="s">
        <v>218</v>
      </c>
    </row>
    <row r="6" spans="1:3">
      <c r="B6" s="3" t="s">
        <v>219</v>
      </c>
    </row>
    <row r="8" spans="1:3">
      <c r="B8" s="1" t="s">
        <v>111</v>
      </c>
    </row>
    <row r="10" spans="1:3" ht="20">
      <c r="A10" s="88" t="s">
        <v>210</v>
      </c>
      <c r="B10" s="88"/>
    </row>
    <row r="11" spans="1:3">
      <c r="A11" s="1">
        <v>1</v>
      </c>
      <c r="B11" s="1" t="s">
        <v>206</v>
      </c>
    </row>
    <row r="12" spans="1:3">
      <c r="A12" s="1">
        <v>2</v>
      </c>
      <c r="B12" s="1" t="s">
        <v>211</v>
      </c>
    </row>
    <row r="13" spans="1:3">
      <c r="A13" s="1">
        <v>3</v>
      </c>
      <c r="B13" s="1" t="s">
        <v>207</v>
      </c>
    </row>
    <row r="14" spans="1:3">
      <c r="A14" s="1">
        <v>4</v>
      </c>
      <c r="B14" s="1" t="s">
        <v>212</v>
      </c>
    </row>
    <row r="15" spans="1:3">
      <c r="A15" s="1">
        <v>5</v>
      </c>
      <c r="B15" s="1" t="s">
        <v>213</v>
      </c>
    </row>
    <row r="16" spans="1:3">
      <c r="A16" s="1">
        <v>6</v>
      </c>
      <c r="B16" s="1" t="s">
        <v>214</v>
      </c>
    </row>
    <row r="17" spans="1:2">
      <c r="A17" s="1">
        <v>7</v>
      </c>
      <c r="B17" s="1" t="s">
        <v>208</v>
      </c>
    </row>
    <row r="18" spans="1:2">
      <c r="A18" s="1">
        <v>8</v>
      </c>
      <c r="B18" s="1" t="s">
        <v>209</v>
      </c>
    </row>
    <row r="20" spans="1:2">
      <c r="A20" s="89" t="s">
        <v>215</v>
      </c>
      <c r="B20" s="89"/>
    </row>
  </sheetData>
  <sheetProtection algorithmName="SHA-512" hashValue="k3HjhReGBPQCv0A8TEYmQD5Is2AJ8kzhInVXXaVXnH2rY7gIJ8l4eaUxu5zF+JPLdMiLz6ocJe1VMCVQcb2eog==" saltValue="uhU6Aws4CFAWTOOgAWoEyQ==" spinCount="100000" sheet="1" objects="1" scenarios="1"/>
  <mergeCells count="2">
    <mergeCell ref="A10:B10"/>
    <mergeCell ref="A20:B20"/>
  </mergeCells>
  <conditionalFormatting sqref="B2">
    <cfRule type="containsText" dxfId="7" priority="4" operator="containsText" text="Enter LEA Name">
      <formula>NOT(ISERROR(SEARCH("Enter LEA Name",B2)))</formula>
    </cfRule>
  </conditionalFormatting>
  <conditionalFormatting sqref="B4">
    <cfRule type="containsText" dxfId="6" priority="3" operator="containsText" text="Enter LEA Contact Name">
      <formula>NOT(ISERROR(SEARCH("Enter LEA Contact Name",B4)))</formula>
    </cfRule>
  </conditionalFormatting>
  <conditionalFormatting sqref="B5">
    <cfRule type="containsText" dxfId="5" priority="2" operator="containsText" text="Enter LEA Contact Email">
      <formula>NOT(ISERROR(SEARCH("Enter LEA Contact Email",B5)))</formula>
    </cfRule>
  </conditionalFormatting>
  <conditionalFormatting sqref="B6">
    <cfRule type="containsText" dxfId="4" priority="1" operator="containsText" text="Enter LEA Contact Phone Number">
      <formula>NOT(ISERROR(SEARCH("Enter LEA Contact Phone Number",B6)))</formula>
    </cfRule>
  </conditionalFormatting>
  <dataValidations count="1">
    <dataValidation type="list" allowBlank="1" showInputMessage="1" showErrorMessage="1" sqref="B2" xr:uid="{64F096BA-7011-514A-9193-1739EEAA3888}">
      <formula1>LEA_Name</formula1>
    </dataValidation>
  </dataValidations>
  <pageMargins left="0.7" right="0.7" top="0.75" bottom="0.75" header="0.3" footer="0.3"/>
  <pageSetup paperSize="12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61"/>
  <sheetViews>
    <sheetView showGridLines="0" zoomScale="115" zoomScaleNormal="115" zoomScaleSheetLayoutView="100" zoomScalePageLayoutView="115" workbookViewId="0">
      <pane ySplit="4" topLeftCell="A5" activePane="bottomLeft" state="frozen"/>
      <selection pane="bottomLeft"/>
    </sheetView>
  </sheetViews>
  <sheetFormatPr baseColWidth="10" defaultColWidth="7.5" defaultRowHeight="13"/>
  <cols>
    <col min="1" max="1" width="26.83203125" style="5" bestFit="1" customWidth="1"/>
    <col min="2" max="3" width="21.83203125" style="20" bestFit="1" customWidth="1"/>
    <col min="4" max="4" width="15.33203125" style="20" bestFit="1" customWidth="1"/>
    <col min="5" max="16384" width="7.5" style="5"/>
  </cols>
  <sheetData>
    <row r="1" spans="1:4">
      <c r="A1" s="4" t="str">
        <f>'1 Instructions - Read First'!B2</f>
        <v>Achievement Preparatory Academy PCS</v>
      </c>
    </row>
    <row r="2" spans="1:4">
      <c r="A2" s="5" t="str">
        <f>'1 Instructions - Read First'!B8&amp;" Enrollment Data"</f>
        <v>FY22 Enrollment Data</v>
      </c>
      <c r="C2" s="21" t="s">
        <v>116</v>
      </c>
    </row>
    <row r="3" spans="1:4">
      <c r="A3" s="6"/>
      <c r="B3" s="22"/>
      <c r="C3" s="23"/>
      <c r="D3" s="22"/>
    </row>
    <row r="4" spans="1:4" ht="14">
      <c r="A4" s="19" t="s">
        <v>33</v>
      </c>
      <c r="B4" s="24" t="s">
        <v>121</v>
      </c>
      <c r="C4" s="24" t="s">
        <v>122</v>
      </c>
      <c r="D4" s="25" t="s">
        <v>123</v>
      </c>
    </row>
    <row r="5" spans="1:4" ht="12.75" customHeight="1">
      <c r="A5" s="14" t="s">
        <v>34</v>
      </c>
      <c r="B5" s="32">
        <v>30</v>
      </c>
      <c r="C5" s="32">
        <v>0</v>
      </c>
      <c r="D5" s="31">
        <f>C5-B5</f>
        <v>-30</v>
      </c>
    </row>
    <row r="6" spans="1:4" ht="12.75" customHeight="1">
      <c r="A6" s="14" t="s">
        <v>35</v>
      </c>
      <c r="B6" s="32">
        <v>51</v>
      </c>
      <c r="C6" s="32">
        <v>0</v>
      </c>
      <c r="D6" s="31">
        <f t="shared" ref="D6:D22" si="0">C6-B6</f>
        <v>-51</v>
      </c>
    </row>
    <row r="7" spans="1:4" ht="12.75" customHeight="1">
      <c r="A7" s="14" t="s">
        <v>36</v>
      </c>
      <c r="B7" s="32">
        <v>50</v>
      </c>
      <c r="C7" s="32">
        <v>42</v>
      </c>
      <c r="D7" s="31">
        <f t="shared" si="0"/>
        <v>-8</v>
      </c>
    </row>
    <row r="8" spans="1:4" ht="12.75" customHeight="1">
      <c r="A8" s="14" t="s">
        <v>37</v>
      </c>
      <c r="B8" s="32">
        <v>42</v>
      </c>
      <c r="C8" s="32">
        <v>36</v>
      </c>
      <c r="D8" s="31">
        <f t="shared" si="0"/>
        <v>-6</v>
      </c>
    </row>
    <row r="9" spans="1:4" ht="12.75" customHeight="1">
      <c r="A9" s="14" t="s">
        <v>38</v>
      </c>
      <c r="B9" s="32">
        <v>39</v>
      </c>
      <c r="C9" s="32">
        <v>31</v>
      </c>
      <c r="D9" s="31">
        <f t="shared" si="0"/>
        <v>-8</v>
      </c>
    </row>
    <row r="10" spans="1:4" ht="12.75" customHeight="1">
      <c r="A10" s="14" t="s">
        <v>39</v>
      </c>
      <c r="B10" s="32">
        <v>49</v>
      </c>
      <c r="C10" s="32">
        <v>41</v>
      </c>
      <c r="D10" s="31">
        <f t="shared" si="0"/>
        <v>-8</v>
      </c>
    </row>
    <row r="11" spans="1:4" ht="12.75" customHeight="1">
      <c r="A11" s="14" t="s">
        <v>40</v>
      </c>
      <c r="B11" s="32">
        <v>0</v>
      </c>
      <c r="C11" s="32">
        <v>0</v>
      </c>
      <c r="D11" s="31">
        <f t="shared" si="0"/>
        <v>0</v>
      </c>
    </row>
    <row r="12" spans="1:4" ht="12.75" customHeight="1">
      <c r="A12" s="14" t="s">
        <v>41</v>
      </c>
      <c r="B12" s="32">
        <v>0</v>
      </c>
      <c r="C12" s="32">
        <v>0</v>
      </c>
      <c r="D12" s="31">
        <f t="shared" si="0"/>
        <v>0</v>
      </c>
    </row>
    <row r="13" spans="1:4" ht="12.75" customHeight="1">
      <c r="A13" s="14" t="s">
        <v>42</v>
      </c>
      <c r="B13" s="32">
        <v>0</v>
      </c>
      <c r="C13" s="32">
        <v>0</v>
      </c>
      <c r="D13" s="31">
        <f t="shared" si="0"/>
        <v>0</v>
      </c>
    </row>
    <row r="14" spans="1:4" ht="12.75" customHeight="1">
      <c r="A14" s="14" t="s">
        <v>43</v>
      </c>
      <c r="B14" s="32">
        <v>0</v>
      </c>
      <c r="C14" s="32">
        <v>0</v>
      </c>
      <c r="D14" s="31">
        <f t="shared" si="0"/>
        <v>0</v>
      </c>
    </row>
    <row r="15" spans="1:4" ht="12.75" customHeight="1">
      <c r="A15" s="14" t="s">
        <v>44</v>
      </c>
      <c r="B15" s="32">
        <v>0</v>
      </c>
      <c r="C15" s="32">
        <v>0</v>
      </c>
      <c r="D15" s="31">
        <f t="shared" si="0"/>
        <v>0</v>
      </c>
    </row>
    <row r="16" spans="1:4" ht="12.75" customHeight="1">
      <c r="A16" s="14" t="s">
        <v>45</v>
      </c>
      <c r="B16" s="32">
        <v>0</v>
      </c>
      <c r="C16" s="32">
        <v>0</v>
      </c>
      <c r="D16" s="31">
        <f t="shared" si="0"/>
        <v>0</v>
      </c>
    </row>
    <row r="17" spans="1:4" ht="12.75" customHeight="1">
      <c r="A17" s="14" t="s">
        <v>46</v>
      </c>
      <c r="B17" s="32">
        <v>0</v>
      </c>
      <c r="C17" s="32">
        <v>0</v>
      </c>
      <c r="D17" s="31">
        <f t="shared" si="0"/>
        <v>0</v>
      </c>
    </row>
    <row r="18" spans="1:4" ht="12.75" customHeight="1">
      <c r="A18" s="14" t="s">
        <v>47</v>
      </c>
      <c r="B18" s="32">
        <v>0</v>
      </c>
      <c r="C18" s="32">
        <v>0</v>
      </c>
      <c r="D18" s="31">
        <f t="shared" si="0"/>
        <v>0</v>
      </c>
    </row>
    <row r="19" spans="1:4" ht="12.75" customHeight="1">
      <c r="A19" s="14" t="s">
        <v>48</v>
      </c>
      <c r="B19" s="32">
        <v>0</v>
      </c>
      <c r="C19" s="32">
        <v>0</v>
      </c>
      <c r="D19" s="31">
        <f t="shared" si="0"/>
        <v>0</v>
      </c>
    </row>
    <row r="20" spans="1:4" ht="12.75" customHeight="1">
      <c r="A20" s="14" t="s">
        <v>49</v>
      </c>
      <c r="B20" s="32">
        <v>0</v>
      </c>
      <c r="C20" s="32">
        <v>0</v>
      </c>
      <c r="D20" s="31">
        <f t="shared" si="0"/>
        <v>0</v>
      </c>
    </row>
    <row r="21" spans="1:4" ht="12.75" customHeight="1">
      <c r="A21" s="14" t="s">
        <v>50</v>
      </c>
      <c r="B21" s="32">
        <v>0</v>
      </c>
      <c r="C21" s="32">
        <v>0</v>
      </c>
      <c r="D21" s="31">
        <f t="shared" si="0"/>
        <v>0</v>
      </c>
    </row>
    <row r="22" spans="1:4" ht="13.5" customHeight="1">
      <c r="A22" s="14" t="s">
        <v>51</v>
      </c>
      <c r="B22" s="32">
        <v>0</v>
      </c>
      <c r="C22" s="32">
        <v>0</v>
      </c>
      <c r="D22" s="31">
        <f t="shared" si="0"/>
        <v>0</v>
      </c>
    </row>
    <row r="23" spans="1:4">
      <c r="A23" s="18" t="s">
        <v>119</v>
      </c>
      <c r="B23" s="26">
        <f>SUM(B5:B22)</f>
        <v>261</v>
      </c>
      <c r="C23" s="26">
        <f>SUM(C5:C22)</f>
        <v>150</v>
      </c>
      <c r="D23" s="26">
        <f>SUM(D5:D22)</f>
        <v>-111</v>
      </c>
    </row>
    <row r="24" spans="1:4">
      <c r="A24" s="16"/>
      <c r="B24" s="27"/>
      <c r="C24" s="28"/>
      <c r="D24" s="27"/>
    </row>
    <row r="25" spans="1:4" ht="14">
      <c r="A25" s="15" t="s">
        <v>52</v>
      </c>
      <c r="B25" s="25" t="str">
        <f>B4</f>
        <v>FY21 Audited Enrollment</v>
      </c>
      <c r="C25" s="25" t="str">
        <f>C4</f>
        <v>FY22 Budgeted Enrollment</v>
      </c>
      <c r="D25" s="25" t="str">
        <f>D4</f>
        <v>Increase (Decrease)</v>
      </c>
    </row>
    <row r="26" spans="1:4">
      <c r="A26" s="14" t="s">
        <v>53</v>
      </c>
      <c r="B26" s="32">
        <v>12</v>
      </c>
      <c r="C26" s="32">
        <v>8</v>
      </c>
      <c r="D26" s="31">
        <f t="shared" ref="D26:D29" si="1">C26-B26</f>
        <v>-4</v>
      </c>
    </row>
    <row r="27" spans="1:4" ht="12.75" customHeight="1">
      <c r="A27" s="14" t="s">
        <v>54</v>
      </c>
      <c r="B27" s="32">
        <v>8</v>
      </c>
      <c r="C27" s="32">
        <v>7</v>
      </c>
      <c r="D27" s="31">
        <f t="shared" si="1"/>
        <v>-1</v>
      </c>
    </row>
    <row r="28" spans="1:4" ht="12.75" customHeight="1">
      <c r="A28" s="14" t="s">
        <v>55</v>
      </c>
      <c r="B28" s="32">
        <v>0</v>
      </c>
      <c r="C28" s="32">
        <v>0</v>
      </c>
      <c r="D28" s="31">
        <f t="shared" si="1"/>
        <v>0</v>
      </c>
    </row>
    <row r="29" spans="1:4" ht="12.75" customHeight="1">
      <c r="A29" s="14" t="s">
        <v>56</v>
      </c>
      <c r="B29" s="32">
        <v>0</v>
      </c>
      <c r="C29" s="32">
        <v>1</v>
      </c>
      <c r="D29" s="31">
        <f t="shared" si="1"/>
        <v>1</v>
      </c>
    </row>
    <row r="30" spans="1:4" ht="13.5" customHeight="1">
      <c r="A30" s="18" t="s">
        <v>57</v>
      </c>
      <c r="B30" s="26">
        <f>SUM(B26:B29)</f>
        <v>20</v>
      </c>
      <c r="C30" s="26">
        <f>SUM(C26:C29)</f>
        <v>16</v>
      </c>
      <c r="D30" s="26">
        <f>SUM(D26:D29)</f>
        <v>-4</v>
      </c>
    </row>
    <row r="31" spans="1:4">
      <c r="A31" s="9"/>
      <c r="B31" s="28"/>
      <c r="C31" s="28"/>
      <c r="D31" s="28"/>
    </row>
    <row r="32" spans="1:4" ht="32.25" customHeight="1">
      <c r="A32" s="10" t="s">
        <v>112</v>
      </c>
      <c r="B32" s="25" t="str">
        <f>B25</f>
        <v>FY21 Audited Enrollment</v>
      </c>
      <c r="C32" s="25" t="str">
        <f>C25</f>
        <v>FY22 Budgeted Enrollment</v>
      </c>
      <c r="D32" s="25" t="str">
        <f>D25</f>
        <v>Increase (Decrease)</v>
      </c>
    </row>
    <row r="33" spans="1:4" ht="12.75" customHeight="1">
      <c r="A33" s="17" t="s">
        <v>124</v>
      </c>
      <c r="B33" s="92">
        <v>0</v>
      </c>
      <c r="C33" s="32">
        <v>0</v>
      </c>
      <c r="D33" s="90"/>
    </row>
    <row r="34" spans="1:4" ht="12.75" customHeight="1">
      <c r="A34" s="17" t="s">
        <v>113</v>
      </c>
      <c r="B34" s="93"/>
      <c r="C34" s="32">
        <v>4</v>
      </c>
      <c r="D34" s="91"/>
    </row>
    <row r="35" spans="1:4">
      <c r="A35" s="13" t="s">
        <v>118</v>
      </c>
      <c r="B35" s="26">
        <f>SUM(B33:B34)</f>
        <v>0</v>
      </c>
      <c r="C35" s="26">
        <f>SUM(C33:C34)</f>
        <v>4</v>
      </c>
      <c r="D35" s="26">
        <f>SUM(D33:D34)</f>
        <v>0</v>
      </c>
    </row>
    <row r="36" spans="1:4">
      <c r="A36" s="8"/>
      <c r="B36" s="28"/>
      <c r="C36" s="28"/>
      <c r="D36" s="28"/>
    </row>
    <row r="37" spans="1:4" ht="12.75" customHeight="1">
      <c r="A37" s="10" t="s">
        <v>58</v>
      </c>
      <c r="B37" s="25" t="str">
        <f>B32</f>
        <v>FY21 Audited Enrollment</v>
      </c>
      <c r="C37" s="25" t="str">
        <f>C32</f>
        <v>FY22 Budgeted Enrollment</v>
      </c>
      <c r="D37" s="25" t="str">
        <f>D32</f>
        <v>Increase (Decrease)</v>
      </c>
    </row>
    <row r="38" spans="1:4" ht="12.75" customHeight="1">
      <c r="A38" s="11" t="s">
        <v>59</v>
      </c>
      <c r="B38" s="32">
        <v>0</v>
      </c>
      <c r="C38" s="32">
        <v>0</v>
      </c>
      <c r="D38" s="31">
        <f t="shared" ref="D38:D41" si="2">C38-B38</f>
        <v>0</v>
      </c>
    </row>
    <row r="39" spans="1:4" ht="12.75" customHeight="1">
      <c r="A39" s="11" t="s">
        <v>60</v>
      </c>
      <c r="B39" s="32">
        <v>0</v>
      </c>
      <c r="C39" s="32">
        <v>0</v>
      </c>
      <c r="D39" s="31">
        <f t="shared" si="2"/>
        <v>0</v>
      </c>
    </row>
    <row r="40" spans="1:4" ht="12.75" customHeight="1">
      <c r="A40" s="11" t="s">
        <v>61</v>
      </c>
      <c r="B40" s="32">
        <v>0</v>
      </c>
      <c r="C40" s="32">
        <v>0</v>
      </c>
      <c r="D40" s="31">
        <f t="shared" si="2"/>
        <v>0</v>
      </c>
    </row>
    <row r="41" spans="1:4" ht="12.75" customHeight="1">
      <c r="A41" s="11" t="s">
        <v>62</v>
      </c>
      <c r="B41" s="32">
        <v>0</v>
      </c>
      <c r="C41" s="32">
        <v>0</v>
      </c>
      <c r="D41" s="31">
        <f t="shared" si="2"/>
        <v>0</v>
      </c>
    </row>
    <row r="42" spans="1:4" ht="13.5" customHeight="1">
      <c r="A42" s="13" t="s">
        <v>63</v>
      </c>
      <c r="B42" s="26">
        <f>SUM(B38:B41)</f>
        <v>0</v>
      </c>
      <c r="C42" s="26">
        <f>SUM(C38:C41)</f>
        <v>0</v>
      </c>
      <c r="D42" s="26">
        <f>SUM(D38:D41)</f>
        <v>0</v>
      </c>
    </row>
    <row r="43" spans="1:4" ht="13.5" customHeight="1">
      <c r="A43" s="7"/>
      <c r="B43" s="28"/>
      <c r="C43" s="29"/>
      <c r="D43" s="28"/>
    </row>
    <row r="44" spans="1:4" ht="14">
      <c r="A44" s="12" t="s">
        <v>120</v>
      </c>
      <c r="B44" s="25" t="str">
        <f>B32</f>
        <v>FY21 Audited Enrollment</v>
      </c>
      <c r="C44" s="25" t="str">
        <f>C32</f>
        <v>FY22 Budgeted Enrollment</v>
      </c>
      <c r="D44" s="25" t="str">
        <f>D32</f>
        <v>Increase (Decrease)</v>
      </c>
    </row>
    <row r="45" spans="1:4" ht="13.5" customHeight="1">
      <c r="A45" s="11" t="s">
        <v>64</v>
      </c>
      <c r="B45" s="33">
        <v>0</v>
      </c>
      <c r="C45" s="33">
        <v>0</v>
      </c>
      <c r="D45" s="31">
        <f>C45-B45</f>
        <v>0</v>
      </c>
    </row>
    <row r="46" spans="1:4" ht="13.5" customHeight="1">
      <c r="A46" s="8"/>
      <c r="B46" s="28"/>
      <c r="C46" s="30"/>
      <c r="D46" s="28"/>
    </row>
    <row r="47" spans="1:4" ht="12.75" customHeight="1">
      <c r="A47" s="10" t="s">
        <v>65</v>
      </c>
      <c r="B47" s="25" t="str">
        <f>B44</f>
        <v>FY21 Audited Enrollment</v>
      </c>
      <c r="C47" s="25" t="str">
        <f>C44</f>
        <v>FY22 Budgeted Enrollment</v>
      </c>
      <c r="D47" s="25" t="str">
        <f>D44</f>
        <v>Increase (Decrease)</v>
      </c>
    </row>
    <row r="48" spans="1:4" ht="13.5" customHeight="1">
      <c r="A48" s="11" t="s">
        <v>65</v>
      </c>
      <c r="B48" s="33">
        <v>0</v>
      </c>
      <c r="C48" s="33">
        <v>0</v>
      </c>
      <c r="D48" s="31">
        <f>C48-B48</f>
        <v>0</v>
      </c>
    </row>
    <row r="49" spans="1:4">
      <c r="A49" s="8"/>
      <c r="B49" s="28"/>
      <c r="C49" s="30"/>
      <c r="D49" s="28"/>
    </row>
    <row r="50" spans="1:4" ht="12.75" customHeight="1">
      <c r="A50" s="10" t="s">
        <v>78</v>
      </c>
      <c r="B50" s="25" t="str">
        <f>B47</f>
        <v>FY21 Audited Enrollment</v>
      </c>
      <c r="C50" s="25" t="str">
        <f>C47</f>
        <v>FY22 Budgeted Enrollment</v>
      </c>
      <c r="D50" s="25" t="str">
        <f>D47</f>
        <v>Increase (Decrease)</v>
      </c>
    </row>
    <row r="51" spans="1:4" ht="12.75" customHeight="1">
      <c r="A51" s="17" t="s">
        <v>114</v>
      </c>
      <c r="B51" s="92">
        <v>199</v>
      </c>
      <c r="C51" s="32">
        <v>0</v>
      </c>
      <c r="D51" s="90"/>
    </row>
    <row r="52" spans="1:4" ht="12.75" customHeight="1">
      <c r="A52" s="17" t="s">
        <v>115</v>
      </c>
      <c r="B52" s="93"/>
      <c r="C52" s="32">
        <v>150</v>
      </c>
      <c r="D52" s="91"/>
    </row>
    <row r="53" spans="1:4" ht="13.5" customHeight="1">
      <c r="A53" s="13" t="s">
        <v>117</v>
      </c>
      <c r="B53" s="26">
        <f>SUM(B51:B52)</f>
        <v>199</v>
      </c>
      <c r="C53" s="26">
        <f>SUM(C51:C52)</f>
        <v>150</v>
      </c>
      <c r="D53" s="26">
        <f>SUM(D51:D52)</f>
        <v>0</v>
      </c>
    </row>
    <row r="54" spans="1:4">
      <c r="A54" s="8"/>
      <c r="B54" s="28"/>
      <c r="C54" s="28"/>
      <c r="D54" s="28"/>
    </row>
    <row r="55" spans="1:4" ht="14">
      <c r="A55" s="10" t="s">
        <v>66</v>
      </c>
      <c r="B55" s="25" t="str">
        <f>B44</f>
        <v>FY21 Audited Enrollment</v>
      </c>
      <c r="C55" s="25" t="str">
        <f>C44</f>
        <v>FY22 Budgeted Enrollment</v>
      </c>
      <c r="D55" s="25" t="str">
        <f>D44</f>
        <v>Increase (Decrease)</v>
      </c>
    </row>
    <row r="56" spans="1:4" ht="12.75" customHeight="1">
      <c r="A56" s="11" t="s">
        <v>67</v>
      </c>
      <c r="B56" s="32">
        <v>2</v>
      </c>
      <c r="C56" s="32">
        <v>3</v>
      </c>
      <c r="D56" s="31">
        <f t="shared" ref="D56:D59" si="3">C56-B56</f>
        <v>1</v>
      </c>
    </row>
    <row r="57" spans="1:4" ht="12.75" customHeight="1">
      <c r="A57" s="11" t="s">
        <v>68</v>
      </c>
      <c r="B57" s="32">
        <v>5</v>
      </c>
      <c r="C57" s="32">
        <v>3</v>
      </c>
      <c r="D57" s="31">
        <f t="shared" si="3"/>
        <v>-2</v>
      </c>
    </row>
    <row r="58" spans="1:4" ht="12.75" customHeight="1">
      <c r="A58" s="11" t="s">
        <v>69</v>
      </c>
      <c r="B58" s="32">
        <v>2</v>
      </c>
      <c r="C58" s="32">
        <v>0</v>
      </c>
      <c r="D58" s="31">
        <f t="shared" si="3"/>
        <v>-2</v>
      </c>
    </row>
    <row r="59" spans="1:4" ht="12.75" customHeight="1">
      <c r="A59" s="11" t="s">
        <v>70</v>
      </c>
      <c r="B59" s="32">
        <v>5</v>
      </c>
      <c r="C59" s="32">
        <v>1</v>
      </c>
      <c r="D59" s="31">
        <f t="shared" si="3"/>
        <v>-4</v>
      </c>
    </row>
    <row r="60" spans="1:4" ht="14.25" customHeight="1">
      <c r="A60" s="13" t="s">
        <v>71</v>
      </c>
      <c r="B60" s="26">
        <f>SUM(B56:B59)</f>
        <v>14</v>
      </c>
      <c r="C60" s="26">
        <f>SUM(C56:C59)</f>
        <v>7</v>
      </c>
      <c r="D60" s="26">
        <f>SUM(D56:D59)</f>
        <v>-7</v>
      </c>
    </row>
    <row r="61" spans="1:4">
      <c r="A61" s="7"/>
      <c r="B61" s="28"/>
      <c r="C61" s="28"/>
      <c r="D61" s="28"/>
    </row>
  </sheetData>
  <sheetProtection algorithmName="SHA-512" hashValue="VNVOQamhhc4+giiIMtZqm26xhYFpVZIXv7Bq2rWKvFl5GVZakuzfDCE+gyIhzruX0gb9CJHFg1vhyT79kg3C7g==" saltValue="T6u7GTj77SzwrIh8QzLRPA==" spinCount="100000" sheet="1" objects="1" scenarios="1"/>
  <mergeCells count="4">
    <mergeCell ref="D33:D34"/>
    <mergeCell ref="D51:D52"/>
    <mergeCell ref="B51:B52"/>
    <mergeCell ref="B33:B34"/>
  </mergeCells>
  <phoneticPr fontId="64" type="noConversion"/>
  <dataValidations count="1">
    <dataValidation type="whole" allowBlank="1" showInputMessage="1" showErrorMessage="1" sqref="B5:C22 B26:C29 B33:C34 B38:C41 B45:C45 B48:C48 B51:C52 B56:C59" xr:uid="{E1E81363-F433-EF49-99AF-AF82C090C992}">
      <formula1>0</formula1>
      <formula2>1000000</formula2>
    </dataValidation>
  </dataValidations>
  <pageMargins left="1.25" right="0.25" top="0.55000000000000004" bottom="0.43" header="0.25" footer="0.26"/>
  <pageSetup scale="91" orientation="portrait"/>
  <headerFooter alignWithMargins="0"/>
  <legacy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B64"/>
  <sheetViews>
    <sheetView showGridLines="0" tabSelected="1" zoomScaleNormal="100" zoomScaleSheetLayoutView="100" workbookViewId="0">
      <pane xSplit="3" ySplit="5" topLeftCell="D12" activePane="bottomRight" state="frozen"/>
      <selection pane="topRight" activeCell="D1" sqref="D1"/>
      <selection pane="bottomLeft" activeCell="A6" sqref="A6"/>
      <selection pane="bottomRight" activeCell="B1" sqref="B1"/>
    </sheetView>
  </sheetViews>
  <sheetFormatPr baseColWidth="10" defaultColWidth="9.1640625" defaultRowHeight="12.75" customHeight="1"/>
  <cols>
    <col min="1" max="1" width="1.83203125" style="35" customWidth="1"/>
    <col min="2" max="2" width="45.83203125" style="35" bestFit="1" customWidth="1"/>
    <col min="3" max="3" width="2.83203125" style="35" customWidth="1"/>
    <col min="4" max="4" width="10.6640625" style="35" customWidth="1"/>
    <col min="5" max="5" width="2.6640625" style="35" customWidth="1"/>
    <col min="6" max="6" width="13.33203125" style="35" bestFit="1" customWidth="1"/>
    <col min="7" max="7" width="2.6640625" style="35" customWidth="1"/>
    <col min="8" max="23" width="10.6640625" style="35" customWidth="1"/>
    <col min="24" max="24" width="1.83203125" style="35" customWidth="1"/>
    <col min="25" max="25" width="14.83203125" style="35" customWidth="1"/>
    <col min="26" max="26" width="1.83203125" style="35" customWidth="1"/>
    <col min="27" max="27" width="14.83203125" style="35" customWidth="1"/>
    <col min="28" max="28" width="7.33203125" style="56" bestFit="1" customWidth="1"/>
    <col min="29" max="16384" width="9.1640625" style="35"/>
  </cols>
  <sheetData>
    <row r="1" spans="1:28" ht="12.75" customHeight="1">
      <c r="A1" s="34" t="str">
        <f>'1 Instructions - Read First'!B2</f>
        <v>Achievement Preparatory Academy PCS</v>
      </c>
      <c r="B1" s="34"/>
    </row>
    <row r="2" spans="1:28" ht="12.75" customHeight="1">
      <c r="A2" s="35" t="str">
        <f>'1 Instructions - Read First'!B8&amp;" Annual Budget"</f>
        <v>FY22 Annual Budget</v>
      </c>
    </row>
    <row r="3" spans="1:28" ht="13">
      <c r="A3" s="36"/>
      <c r="C3" s="36"/>
      <c r="X3" s="36"/>
    </row>
    <row r="4" spans="1:28" ht="13">
      <c r="C4" s="36"/>
      <c r="D4" s="37" t="s">
        <v>127</v>
      </c>
      <c r="E4" s="38"/>
      <c r="F4" s="38"/>
      <c r="G4" s="38"/>
      <c r="H4" s="37" t="s">
        <v>79</v>
      </c>
      <c r="I4" s="37" t="s">
        <v>80</v>
      </c>
      <c r="J4" s="37" t="s">
        <v>81</v>
      </c>
      <c r="K4" s="37" t="s">
        <v>72</v>
      </c>
      <c r="L4" s="37" t="s">
        <v>82</v>
      </c>
      <c r="M4" s="37" t="s">
        <v>83</v>
      </c>
      <c r="N4" s="37" t="s">
        <v>84</v>
      </c>
      <c r="O4" s="37" t="s">
        <v>73</v>
      </c>
      <c r="P4" s="37" t="s">
        <v>85</v>
      </c>
      <c r="Q4" s="37" t="s">
        <v>86</v>
      </c>
      <c r="R4" s="37" t="s">
        <v>87</v>
      </c>
      <c r="S4" s="37" t="s">
        <v>74</v>
      </c>
      <c r="T4" s="37" t="s">
        <v>88</v>
      </c>
      <c r="U4" s="37" t="s">
        <v>89</v>
      </c>
      <c r="V4" s="37" t="s">
        <v>90</v>
      </c>
      <c r="W4" s="37" t="s">
        <v>75</v>
      </c>
      <c r="X4" s="36"/>
      <c r="Y4" s="37" t="s">
        <v>111</v>
      </c>
      <c r="AA4" s="94" t="s">
        <v>128</v>
      </c>
      <c r="AB4" s="94"/>
    </row>
    <row r="5" spans="1:28" ht="13">
      <c r="C5" s="36"/>
      <c r="D5" s="65" t="s">
        <v>216</v>
      </c>
      <c r="E5" s="40"/>
      <c r="F5" s="40"/>
      <c r="G5" s="40"/>
      <c r="H5" s="39" t="s">
        <v>0</v>
      </c>
      <c r="I5" s="39" t="str">
        <f>H5</f>
        <v>Budget</v>
      </c>
      <c r="J5" s="39" t="str">
        <f t="shared" ref="J5:W5" si="0">I5</f>
        <v>Budget</v>
      </c>
      <c r="K5" s="39" t="str">
        <f t="shared" si="0"/>
        <v>Budget</v>
      </c>
      <c r="L5" s="39" t="str">
        <f t="shared" si="0"/>
        <v>Budget</v>
      </c>
      <c r="M5" s="39" t="str">
        <f t="shared" si="0"/>
        <v>Budget</v>
      </c>
      <c r="N5" s="39" t="str">
        <f t="shared" si="0"/>
        <v>Budget</v>
      </c>
      <c r="O5" s="39" t="str">
        <f t="shared" si="0"/>
        <v>Budget</v>
      </c>
      <c r="P5" s="39" t="str">
        <f t="shared" si="0"/>
        <v>Budget</v>
      </c>
      <c r="Q5" s="39" t="str">
        <f t="shared" si="0"/>
        <v>Budget</v>
      </c>
      <c r="R5" s="39" t="str">
        <f t="shared" si="0"/>
        <v>Budget</v>
      </c>
      <c r="S5" s="39" t="str">
        <f t="shared" si="0"/>
        <v>Budget</v>
      </c>
      <c r="T5" s="39" t="str">
        <f t="shared" si="0"/>
        <v>Budget</v>
      </c>
      <c r="U5" s="39" t="str">
        <f t="shared" si="0"/>
        <v>Budget</v>
      </c>
      <c r="V5" s="39" t="str">
        <f t="shared" si="0"/>
        <v>Budget</v>
      </c>
      <c r="W5" s="39" t="str">
        <f t="shared" si="0"/>
        <v>Budget</v>
      </c>
      <c r="X5" s="36"/>
      <c r="Y5" s="39" t="s">
        <v>77</v>
      </c>
      <c r="AA5" s="39" t="s">
        <v>129</v>
      </c>
      <c r="AB5" s="56" t="s">
        <v>130</v>
      </c>
    </row>
    <row r="6" spans="1:28" ht="13">
      <c r="A6" s="34" t="s">
        <v>1</v>
      </c>
      <c r="C6" s="36"/>
      <c r="X6" s="36"/>
    </row>
    <row r="7" spans="1:28" ht="13">
      <c r="B7" s="35" t="s">
        <v>91</v>
      </c>
      <c r="C7" s="36"/>
      <c r="D7" s="60">
        <v>3409965</v>
      </c>
      <c r="E7" s="41"/>
      <c r="F7" s="41"/>
      <c r="G7" s="41"/>
      <c r="H7" s="60">
        <v>158767.51822916663</v>
      </c>
      <c r="I7" s="60">
        <v>158767.51822916663</v>
      </c>
      <c r="J7" s="60">
        <v>158767.51822916663</v>
      </c>
      <c r="K7" s="41">
        <f>SUM(H7:J7)</f>
        <v>476302.55468749988</v>
      </c>
      <c r="L7" s="60">
        <v>158767.51822916663</v>
      </c>
      <c r="M7" s="60">
        <v>158767.51822916663</v>
      </c>
      <c r="N7" s="60">
        <v>158767.51822916663</v>
      </c>
      <c r="O7" s="41">
        <f>SUM(L7:N7)</f>
        <v>476302.55468749988</v>
      </c>
      <c r="P7" s="60">
        <v>158767.51822916663</v>
      </c>
      <c r="Q7" s="60">
        <v>158767.51822916663</v>
      </c>
      <c r="R7" s="60">
        <v>158767.51822916663</v>
      </c>
      <c r="S7" s="41">
        <f>SUM(P7:R7)</f>
        <v>476302.55468749988</v>
      </c>
      <c r="T7" s="60">
        <v>158767.51822916663</v>
      </c>
      <c r="U7" s="60">
        <v>158767.51822916663</v>
      </c>
      <c r="V7" s="60">
        <v>158767.51822916663</v>
      </c>
      <c r="W7" s="41">
        <f>SUM(T7:V7)</f>
        <v>476302.55468749988</v>
      </c>
      <c r="X7" s="36"/>
      <c r="Y7" s="35">
        <f>SUM(K7,O7,S7,W7)</f>
        <v>1905210.2187499995</v>
      </c>
      <c r="AA7" s="35">
        <f t="shared" ref="AA7:AA8" si="1">Y7-D7</f>
        <v>-1504754.7812500005</v>
      </c>
      <c r="AB7" s="56">
        <f t="shared" ref="AB7:AB8" si="2">IF(D7,AA7/D7,"")</f>
        <v>-0.44128159123334126</v>
      </c>
    </row>
    <row r="8" spans="1:28" ht="13">
      <c r="B8" s="35" t="s">
        <v>92</v>
      </c>
      <c r="C8" s="36"/>
      <c r="D8" s="60">
        <v>854133.48899999994</v>
      </c>
      <c r="E8" s="41"/>
      <c r="F8" s="41"/>
      <c r="G8" s="41"/>
      <c r="H8" s="60">
        <v>85754.943603515625</v>
      </c>
      <c r="I8" s="60">
        <v>59187.75341796875</v>
      </c>
      <c r="J8" s="60">
        <v>85754.943603515625</v>
      </c>
      <c r="K8" s="41">
        <f t="shared" ref="K8:K15" si="3">SUM(H8:J8)</f>
        <v>230697.640625</v>
      </c>
      <c r="L8" s="60">
        <v>59187.75341796875</v>
      </c>
      <c r="M8" s="60">
        <v>59187.75341796875</v>
      </c>
      <c r="N8" s="60">
        <v>59187.75341796875</v>
      </c>
      <c r="O8" s="41">
        <f t="shared" ref="O8:O15" si="4">SUM(L8:N8)</f>
        <v>177563.26025390625</v>
      </c>
      <c r="P8" s="60">
        <v>59187.75341796875</v>
      </c>
      <c r="Q8" s="60">
        <v>59187.75341796875</v>
      </c>
      <c r="R8" s="60">
        <v>59187.75341796875</v>
      </c>
      <c r="S8" s="41">
        <f t="shared" ref="S8:S15" si="5">SUM(P8:R8)</f>
        <v>177563.26025390625</v>
      </c>
      <c r="T8" s="60">
        <v>59187.75341796875</v>
      </c>
      <c r="U8" s="60">
        <v>59187.75341796875</v>
      </c>
      <c r="V8" s="60">
        <v>59187.75341796875</v>
      </c>
      <c r="W8" s="41">
        <f t="shared" ref="W8:W15" si="6">SUM(T8:V8)</f>
        <v>177563.26025390625</v>
      </c>
      <c r="X8" s="36"/>
      <c r="Y8" s="35">
        <f t="shared" ref="Y8:Y15" si="7">SUM(K8,O8,S8,W8)</f>
        <v>763387.42138671875</v>
      </c>
      <c r="AA8" s="35">
        <f t="shared" si="1"/>
        <v>-90746.067613281193</v>
      </c>
      <c r="AB8" s="56">
        <f t="shared" si="2"/>
        <v>-0.10624342539188415</v>
      </c>
    </row>
    <row r="9" spans="1:28" ht="13">
      <c r="B9" s="35" t="s">
        <v>2</v>
      </c>
      <c r="C9" s="36"/>
      <c r="D9" s="60">
        <v>889488</v>
      </c>
      <c r="E9" s="41"/>
      <c r="F9" s="41"/>
      <c r="G9" s="41"/>
      <c r="H9" s="60">
        <v>42600</v>
      </c>
      <c r="I9" s="60">
        <v>42600</v>
      </c>
      <c r="J9" s="60">
        <v>42600</v>
      </c>
      <c r="K9" s="41">
        <f t="shared" si="3"/>
        <v>127800</v>
      </c>
      <c r="L9" s="60">
        <v>42600</v>
      </c>
      <c r="M9" s="60">
        <v>42600</v>
      </c>
      <c r="N9" s="60">
        <v>42600</v>
      </c>
      <c r="O9" s="41">
        <f t="shared" si="4"/>
        <v>127800</v>
      </c>
      <c r="P9" s="60">
        <v>42600</v>
      </c>
      <c r="Q9" s="60">
        <v>42600</v>
      </c>
      <c r="R9" s="60">
        <v>42600</v>
      </c>
      <c r="S9" s="41">
        <f t="shared" si="5"/>
        <v>127800</v>
      </c>
      <c r="T9" s="60">
        <v>42600</v>
      </c>
      <c r="U9" s="60">
        <v>42600</v>
      </c>
      <c r="V9" s="60">
        <v>42600</v>
      </c>
      <c r="W9" s="41">
        <f t="shared" si="6"/>
        <v>127800</v>
      </c>
      <c r="X9" s="36"/>
      <c r="Y9" s="35">
        <f t="shared" si="7"/>
        <v>511200</v>
      </c>
      <c r="AA9" s="35">
        <f t="shared" ref="AA9:AA64" si="8">Y9-D9</f>
        <v>-378288</v>
      </c>
      <c r="AB9" s="56">
        <f t="shared" ref="AB9:AB64" si="9">IF(D9,AA9/D9,"")</f>
        <v>-0.42528735632183906</v>
      </c>
    </row>
    <row r="10" spans="1:28" ht="13">
      <c r="B10" s="35" t="s">
        <v>104</v>
      </c>
      <c r="C10" s="36"/>
      <c r="D10" s="60">
        <v>1246371.1730041504</v>
      </c>
      <c r="E10" s="41"/>
      <c r="F10" s="41"/>
      <c r="G10" s="41"/>
      <c r="H10" s="60">
        <v>0</v>
      </c>
      <c r="I10" s="60">
        <v>0</v>
      </c>
      <c r="J10" s="60">
        <v>0</v>
      </c>
      <c r="K10" s="41">
        <f t="shared" si="3"/>
        <v>0</v>
      </c>
      <c r="L10" s="60">
        <v>0</v>
      </c>
      <c r="M10" s="60">
        <v>522563.63636363635</v>
      </c>
      <c r="N10" s="60">
        <v>130640.90909090909</v>
      </c>
      <c r="O10" s="41">
        <f t="shared" si="4"/>
        <v>653204.54545454541</v>
      </c>
      <c r="P10" s="60">
        <v>130640.90909090909</v>
      </c>
      <c r="Q10" s="60">
        <v>130640.90909090909</v>
      </c>
      <c r="R10" s="60">
        <v>130640.90909090909</v>
      </c>
      <c r="S10" s="41">
        <f t="shared" si="5"/>
        <v>391922.72727272729</v>
      </c>
      <c r="T10" s="60">
        <v>130640.90909090909</v>
      </c>
      <c r="U10" s="60">
        <v>130640.90909090909</v>
      </c>
      <c r="V10" s="60">
        <v>130640.90909090909</v>
      </c>
      <c r="W10" s="41">
        <f t="shared" si="6"/>
        <v>391922.72727272729</v>
      </c>
      <c r="X10" s="36"/>
      <c r="Y10" s="35">
        <f t="shared" si="7"/>
        <v>1437050</v>
      </c>
      <c r="AA10" s="35">
        <f t="shared" si="8"/>
        <v>190678.82699584961</v>
      </c>
      <c r="AB10" s="56">
        <f t="shared" si="9"/>
        <v>0.15298719284100024</v>
      </c>
    </row>
    <row r="11" spans="1:28" ht="13">
      <c r="B11" s="35" t="s">
        <v>3</v>
      </c>
      <c r="C11" s="36"/>
      <c r="D11" s="60">
        <v>1779050.9752844239</v>
      </c>
      <c r="E11" s="41"/>
      <c r="F11" s="41"/>
      <c r="G11" s="41"/>
      <c r="H11" s="60">
        <v>0</v>
      </c>
      <c r="I11" s="60">
        <v>5550.5789473684217</v>
      </c>
      <c r="J11" s="60">
        <v>15323.380116959064</v>
      </c>
      <c r="K11" s="41">
        <f t="shared" si="3"/>
        <v>20873.959064327486</v>
      </c>
      <c r="L11" s="60">
        <v>15323.380116959064</v>
      </c>
      <c r="M11" s="60">
        <v>47536.38189252725</v>
      </c>
      <c r="N11" s="60">
        <v>20601.3410871669</v>
      </c>
      <c r="O11" s="41">
        <f t="shared" si="4"/>
        <v>83461.103096653213</v>
      </c>
      <c r="P11" s="60">
        <v>23376.630560851107</v>
      </c>
      <c r="Q11" s="60">
        <v>23376.630560851107</v>
      </c>
      <c r="R11" s="60">
        <v>20601.3410871669</v>
      </c>
      <c r="S11" s="41">
        <f t="shared" si="5"/>
        <v>67354.60220886911</v>
      </c>
      <c r="T11" s="60">
        <v>23376.630560851107</v>
      </c>
      <c r="U11" s="60">
        <v>23376.630560851107</v>
      </c>
      <c r="V11" s="60">
        <v>13603.829391260468</v>
      </c>
      <c r="W11" s="41">
        <f t="shared" si="6"/>
        <v>60357.090512962677</v>
      </c>
      <c r="X11" s="36"/>
      <c r="Y11" s="35">
        <f t="shared" si="7"/>
        <v>232046.7548828125</v>
      </c>
      <c r="AA11" s="35">
        <f t="shared" si="8"/>
        <v>-1547004.2204016114</v>
      </c>
      <c r="AB11" s="56">
        <f t="shared" si="9"/>
        <v>-0.86956711296835421</v>
      </c>
    </row>
    <row r="12" spans="1:28" ht="13">
      <c r="B12" s="35" t="s">
        <v>4</v>
      </c>
      <c r="C12" s="36"/>
      <c r="D12" s="60">
        <v>8002.0001220703125</v>
      </c>
      <c r="E12" s="41"/>
      <c r="F12" s="41"/>
      <c r="G12" s="41"/>
      <c r="H12" s="60">
        <v>833.33333333333326</v>
      </c>
      <c r="I12" s="60">
        <v>833.33333333333326</v>
      </c>
      <c r="J12" s="60">
        <v>833.33333333333326</v>
      </c>
      <c r="K12" s="41">
        <f t="shared" si="3"/>
        <v>2500</v>
      </c>
      <c r="L12" s="60">
        <v>833.33333333333326</v>
      </c>
      <c r="M12" s="60">
        <v>833.33333333333326</v>
      </c>
      <c r="N12" s="60">
        <v>833.33333333333326</v>
      </c>
      <c r="O12" s="41">
        <f t="shared" si="4"/>
        <v>2500</v>
      </c>
      <c r="P12" s="60">
        <v>833.33333333333326</v>
      </c>
      <c r="Q12" s="60">
        <v>833.33333333333326</v>
      </c>
      <c r="R12" s="60">
        <v>833.33333333333326</v>
      </c>
      <c r="S12" s="41">
        <f t="shared" si="5"/>
        <v>2500</v>
      </c>
      <c r="T12" s="60">
        <v>833.33333333333326</v>
      </c>
      <c r="U12" s="60">
        <v>833.33333333333326</v>
      </c>
      <c r="V12" s="60">
        <v>833.33333333333326</v>
      </c>
      <c r="W12" s="41">
        <f t="shared" si="6"/>
        <v>2500</v>
      </c>
      <c r="X12" s="36"/>
      <c r="Y12" s="35">
        <f t="shared" si="7"/>
        <v>10000</v>
      </c>
      <c r="AA12" s="35">
        <f t="shared" si="8"/>
        <v>1997.9998779296875</v>
      </c>
      <c r="AB12" s="56">
        <f t="shared" si="9"/>
        <v>0.24968755904152076</v>
      </c>
    </row>
    <row r="13" spans="1:28" ht="13">
      <c r="B13" s="35" t="s">
        <v>5</v>
      </c>
      <c r="C13" s="36"/>
      <c r="D13" s="60">
        <v>0</v>
      </c>
      <c r="E13" s="41"/>
      <c r="F13" s="41"/>
      <c r="G13" s="41"/>
      <c r="H13" s="60">
        <v>0</v>
      </c>
      <c r="I13" s="60">
        <v>0</v>
      </c>
      <c r="J13" s="60">
        <v>0</v>
      </c>
      <c r="K13" s="41">
        <f t="shared" si="3"/>
        <v>0</v>
      </c>
      <c r="L13" s="60">
        <v>0</v>
      </c>
      <c r="M13" s="60">
        <v>0</v>
      </c>
      <c r="N13" s="60">
        <v>0</v>
      </c>
      <c r="O13" s="41">
        <f t="shared" si="4"/>
        <v>0</v>
      </c>
      <c r="P13" s="60">
        <v>0</v>
      </c>
      <c r="Q13" s="60">
        <v>0</v>
      </c>
      <c r="R13" s="60">
        <v>0</v>
      </c>
      <c r="S13" s="41">
        <f t="shared" si="5"/>
        <v>0</v>
      </c>
      <c r="T13" s="60">
        <v>0</v>
      </c>
      <c r="U13" s="60">
        <v>0</v>
      </c>
      <c r="V13" s="60">
        <v>0</v>
      </c>
      <c r="W13" s="41">
        <f t="shared" si="6"/>
        <v>0</v>
      </c>
      <c r="X13" s="36"/>
      <c r="Y13" s="35">
        <f t="shared" si="7"/>
        <v>0</v>
      </c>
      <c r="AA13" s="35">
        <f t="shared" si="8"/>
        <v>0</v>
      </c>
      <c r="AB13" s="56" t="str">
        <f t="shared" si="9"/>
        <v/>
      </c>
    </row>
    <row r="14" spans="1:28" ht="13">
      <c r="B14" s="35" t="s">
        <v>93</v>
      </c>
      <c r="C14" s="36"/>
      <c r="D14" s="60">
        <v>0</v>
      </c>
      <c r="E14" s="41"/>
      <c r="F14" s="41"/>
      <c r="G14" s="41"/>
      <c r="H14" s="60">
        <v>0</v>
      </c>
      <c r="I14" s="60">
        <v>0</v>
      </c>
      <c r="J14" s="60">
        <v>0</v>
      </c>
      <c r="K14" s="41">
        <f t="shared" si="3"/>
        <v>0</v>
      </c>
      <c r="L14" s="60">
        <v>0</v>
      </c>
      <c r="M14" s="60">
        <v>0</v>
      </c>
      <c r="N14" s="60">
        <v>0</v>
      </c>
      <c r="O14" s="41">
        <f t="shared" si="4"/>
        <v>0</v>
      </c>
      <c r="P14" s="60">
        <v>0</v>
      </c>
      <c r="Q14" s="60">
        <v>0</v>
      </c>
      <c r="R14" s="60">
        <v>0</v>
      </c>
      <c r="S14" s="41">
        <f t="shared" si="5"/>
        <v>0</v>
      </c>
      <c r="T14" s="60">
        <v>0</v>
      </c>
      <c r="U14" s="60">
        <v>0</v>
      </c>
      <c r="V14" s="60">
        <v>0</v>
      </c>
      <c r="W14" s="41">
        <f t="shared" si="6"/>
        <v>0</v>
      </c>
      <c r="X14" s="36"/>
      <c r="Y14" s="35">
        <f t="shared" si="7"/>
        <v>0</v>
      </c>
      <c r="AA14" s="35">
        <f t="shared" si="8"/>
        <v>0</v>
      </c>
      <c r="AB14" s="56" t="str">
        <f t="shared" si="9"/>
        <v/>
      </c>
    </row>
    <row r="15" spans="1:28" ht="13">
      <c r="B15" s="35" t="s">
        <v>6</v>
      </c>
      <c r="C15" s="36"/>
      <c r="D15" s="60">
        <v>57454.000156250004</v>
      </c>
      <c r="E15" s="41"/>
      <c r="F15" s="41"/>
      <c r="G15" s="41"/>
      <c r="H15" s="60">
        <v>2187.5</v>
      </c>
      <c r="I15" s="60">
        <v>2187.5</v>
      </c>
      <c r="J15" s="60">
        <v>2187.5</v>
      </c>
      <c r="K15" s="41">
        <f t="shared" si="3"/>
        <v>6562.5</v>
      </c>
      <c r="L15" s="60">
        <v>2187.5</v>
      </c>
      <c r="M15" s="60">
        <v>2187.5</v>
      </c>
      <c r="N15" s="60">
        <v>2187.5</v>
      </c>
      <c r="O15" s="41">
        <f t="shared" si="4"/>
        <v>6562.5</v>
      </c>
      <c r="P15" s="60">
        <v>2187.5</v>
      </c>
      <c r="Q15" s="60">
        <v>2187.5</v>
      </c>
      <c r="R15" s="60">
        <v>2187.5</v>
      </c>
      <c r="S15" s="41">
        <f t="shared" si="5"/>
        <v>6562.5</v>
      </c>
      <c r="T15" s="60">
        <v>2187.5</v>
      </c>
      <c r="U15" s="60">
        <v>2187.5</v>
      </c>
      <c r="V15" s="60">
        <v>2187.5</v>
      </c>
      <c r="W15" s="41">
        <f t="shared" si="6"/>
        <v>6562.5</v>
      </c>
      <c r="X15" s="36"/>
      <c r="Y15" s="42">
        <f t="shared" si="7"/>
        <v>26250</v>
      </c>
      <c r="AA15" s="42">
        <f t="shared" si="8"/>
        <v>-31204.000156250004</v>
      </c>
      <c r="AB15" s="59">
        <f t="shared" si="9"/>
        <v>-0.54311275231295708</v>
      </c>
    </row>
    <row r="16" spans="1:28" ht="13">
      <c r="B16" s="43" t="s">
        <v>7</v>
      </c>
      <c r="C16" s="36"/>
      <c r="D16" s="44">
        <f>SUM(D7:D15)</f>
        <v>8244464.6375668943</v>
      </c>
      <c r="E16" s="45"/>
      <c r="F16" s="45"/>
      <c r="G16" s="45"/>
      <c r="H16" s="44">
        <f>SUM(H7:H15)</f>
        <v>290143.29516601557</v>
      </c>
      <c r="I16" s="44">
        <f t="shared" ref="I16:J16" si="10">SUM(I7:I15)</f>
        <v>269126.68392783712</v>
      </c>
      <c r="J16" s="44">
        <f t="shared" si="10"/>
        <v>305466.67528297461</v>
      </c>
      <c r="K16" s="44">
        <f>SUM(H16:J16)</f>
        <v>864736.6543768273</v>
      </c>
      <c r="L16" s="44">
        <f>SUM(L7:L15)</f>
        <v>278899.48509742774</v>
      </c>
      <c r="M16" s="44">
        <f t="shared" ref="M16:N16" si="11">SUM(M7:M15)</f>
        <v>833676.12323663232</v>
      </c>
      <c r="N16" s="44">
        <f t="shared" si="11"/>
        <v>414818.35515854467</v>
      </c>
      <c r="O16" s="44">
        <f>SUM(L16:N16)</f>
        <v>1527393.9634926047</v>
      </c>
      <c r="P16" s="44">
        <f>SUM(P7:P15)</f>
        <v>417593.64463222888</v>
      </c>
      <c r="Q16" s="44">
        <f t="shared" ref="Q16:R16" si="12">SUM(Q7:Q15)</f>
        <v>417593.64463222888</v>
      </c>
      <c r="R16" s="44">
        <f t="shared" si="12"/>
        <v>414818.35515854467</v>
      </c>
      <c r="S16" s="44">
        <f>SUM(P16:R16)</f>
        <v>1250005.6444230024</v>
      </c>
      <c r="T16" s="44">
        <f>SUM(T7:T15)</f>
        <v>417593.64463222888</v>
      </c>
      <c r="U16" s="44">
        <f t="shared" ref="U16:V16" si="13">SUM(U7:U15)</f>
        <v>417593.64463222888</v>
      </c>
      <c r="V16" s="44">
        <f t="shared" si="13"/>
        <v>407820.84346263821</v>
      </c>
      <c r="W16" s="44">
        <f>SUM(T16:V16)</f>
        <v>1243008.1327270959</v>
      </c>
      <c r="X16" s="46"/>
      <c r="Y16" s="47">
        <f>SUM(K16,O16,S16,W16)</f>
        <v>4885144.3950195303</v>
      </c>
      <c r="AA16" s="47">
        <f t="shared" si="8"/>
        <v>-3359320.242547364</v>
      </c>
      <c r="AB16" s="56">
        <f t="shared" si="9"/>
        <v>-0.40746372144532195</v>
      </c>
    </row>
    <row r="17" spans="1:28" ht="13">
      <c r="B17" s="34"/>
      <c r="C17" s="36"/>
      <c r="D17" s="34"/>
      <c r="E17" s="34"/>
      <c r="F17" s="34"/>
      <c r="G17" s="34"/>
      <c r="H17" s="34"/>
      <c r="I17" s="34"/>
      <c r="J17" s="34"/>
      <c r="K17" s="34"/>
      <c r="L17" s="34"/>
      <c r="M17" s="34"/>
      <c r="N17" s="34"/>
      <c r="O17" s="34"/>
      <c r="P17" s="34"/>
      <c r="Q17" s="34"/>
      <c r="R17" s="34"/>
      <c r="S17" s="34"/>
      <c r="T17" s="34"/>
      <c r="U17" s="34"/>
      <c r="V17" s="34"/>
      <c r="W17" s="34"/>
      <c r="X17" s="36"/>
    </row>
    <row r="18" spans="1:28" ht="13">
      <c r="A18" s="34" t="s">
        <v>97</v>
      </c>
      <c r="C18" s="36"/>
      <c r="X18" s="36"/>
    </row>
    <row r="19" spans="1:28" ht="13">
      <c r="A19" s="48" t="s">
        <v>8</v>
      </c>
      <c r="C19" s="36"/>
      <c r="F19" s="35" t="s">
        <v>76</v>
      </c>
      <c r="X19" s="36"/>
    </row>
    <row r="20" spans="1:28" ht="13">
      <c r="B20" s="35" t="s">
        <v>9</v>
      </c>
      <c r="C20" s="36"/>
      <c r="D20" s="61">
        <v>177561.64999999997</v>
      </c>
      <c r="E20" s="49"/>
      <c r="F20" s="61">
        <v>3</v>
      </c>
      <c r="G20" s="49"/>
      <c r="H20" s="61">
        <v>25250</v>
      </c>
      <c r="I20" s="61">
        <v>25250</v>
      </c>
      <c r="J20" s="61">
        <v>25250</v>
      </c>
      <c r="K20" s="50">
        <f t="shared" ref="K20:K26" si="14">SUM(H20:J20)</f>
        <v>75750</v>
      </c>
      <c r="L20" s="61">
        <v>25250</v>
      </c>
      <c r="M20" s="61">
        <v>25250</v>
      </c>
      <c r="N20" s="61">
        <v>25250</v>
      </c>
      <c r="O20" s="50">
        <f t="shared" ref="O20:O26" si="15">SUM(L20:N20)</f>
        <v>75750</v>
      </c>
      <c r="P20" s="61">
        <v>25250</v>
      </c>
      <c r="Q20" s="61">
        <v>25250</v>
      </c>
      <c r="R20" s="61">
        <v>25250</v>
      </c>
      <c r="S20" s="50">
        <f t="shared" ref="S20:S26" si="16">SUM(P20:R20)</f>
        <v>75750</v>
      </c>
      <c r="T20" s="61">
        <v>25250</v>
      </c>
      <c r="U20" s="61">
        <v>25250</v>
      </c>
      <c r="V20" s="61">
        <v>25250</v>
      </c>
      <c r="W20" s="50">
        <f t="shared" ref="W20:W27" si="17">SUM(T20:V20)</f>
        <v>75750</v>
      </c>
      <c r="X20" s="36"/>
      <c r="Y20" s="35">
        <f t="shared" ref="Y20:Y27" si="18">SUM(K20,O20,S20,W20)</f>
        <v>303000</v>
      </c>
      <c r="AA20" s="35">
        <f t="shared" si="8"/>
        <v>125438.35000000003</v>
      </c>
      <c r="AB20" s="56">
        <f t="shared" si="9"/>
        <v>0.70644956272933968</v>
      </c>
    </row>
    <row r="21" spans="1:28" ht="13">
      <c r="B21" s="35" t="s">
        <v>10</v>
      </c>
      <c r="C21" s="36"/>
      <c r="D21" s="61">
        <v>1087435.2966666669</v>
      </c>
      <c r="E21" s="49"/>
      <c r="F21" s="61">
        <v>10</v>
      </c>
      <c r="G21" s="49"/>
      <c r="H21" s="61">
        <v>6666.6666666666661</v>
      </c>
      <c r="I21" s="61">
        <v>63908.692708333321</v>
      </c>
      <c r="J21" s="61">
        <v>63908.692708333321</v>
      </c>
      <c r="K21" s="50">
        <f t="shared" si="14"/>
        <v>134484.05208333331</v>
      </c>
      <c r="L21" s="61">
        <v>57242.026041666657</v>
      </c>
      <c r="M21" s="61">
        <v>57242.026041666657</v>
      </c>
      <c r="N21" s="61">
        <v>57242.026041666657</v>
      </c>
      <c r="O21" s="50">
        <f t="shared" si="15"/>
        <v>171726.07812499997</v>
      </c>
      <c r="P21" s="61">
        <v>57242.026041666657</v>
      </c>
      <c r="Q21" s="61">
        <v>57242.026041666657</v>
      </c>
      <c r="R21" s="61">
        <v>57242.026041666657</v>
      </c>
      <c r="S21" s="50">
        <f t="shared" si="16"/>
        <v>171726.07812499997</v>
      </c>
      <c r="T21" s="61">
        <v>57242.026041666657</v>
      </c>
      <c r="U21" s="61">
        <v>57242.026041666657</v>
      </c>
      <c r="V21" s="61">
        <v>114484.05208333331</v>
      </c>
      <c r="W21" s="50">
        <f t="shared" si="17"/>
        <v>228968.10416666663</v>
      </c>
      <c r="X21" s="36"/>
      <c r="Y21" s="35">
        <f t="shared" si="18"/>
        <v>706904.31249999988</v>
      </c>
      <c r="AA21" s="35">
        <f t="shared" si="8"/>
        <v>-380530.98416666698</v>
      </c>
      <c r="AB21" s="56">
        <f t="shared" si="9"/>
        <v>-0.34993436881542728</v>
      </c>
    </row>
    <row r="22" spans="1:28" ht="13">
      <c r="B22" s="35" t="s">
        <v>11</v>
      </c>
      <c r="C22" s="36"/>
      <c r="D22" s="61">
        <v>310507.0083333333</v>
      </c>
      <c r="E22" s="49"/>
      <c r="F22" s="61">
        <v>3</v>
      </c>
      <c r="G22" s="49"/>
      <c r="H22" s="61">
        <v>0</v>
      </c>
      <c r="I22" s="61">
        <v>19951.19140625</v>
      </c>
      <c r="J22" s="61">
        <v>19951.19140625</v>
      </c>
      <c r="K22" s="50">
        <f t="shared" si="14"/>
        <v>39902.3828125</v>
      </c>
      <c r="L22" s="61">
        <v>19951.19140625</v>
      </c>
      <c r="M22" s="61">
        <v>19951.19140625</v>
      </c>
      <c r="N22" s="61">
        <v>19951.19140625</v>
      </c>
      <c r="O22" s="50">
        <f t="shared" si="15"/>
        <v>59853.57421875</v>
      </c>
      <c r="P22" s="61">
        <v>19951.19140625</v>
      </c>
      <c r="Q22" s="61">
        <v>19951.19140625</v>
      </c>
      <c r="R22" s="61">
        <v>19951.19140625</v>
      </c>
      <c r="S22" s="50">
        <f t="shared" si="16"/>
        <v>59853.57421875</v>
      </c>
      <c r="T22" s="61">
        <v>19951.19140625</v>
      </c>
      <c r="U22" s="61">
        <v>19951.19140625</v>
      </c>
      <c r="V22" s="61">
        <v>39902.3828125</v>
      </c>
      <c r="W22" s="50">
        <f t="shared" si="17"/>
        <v>79804.765625</v>
      </c>
      <c r="X22" s="36"/>
      <c r="Y22" s="35">
        <f t="shared" si="18"/>
        <v>239414.296875</v>
      </c>
      <c r="AA22" s="35">
        <f t="shared" si="8"/>
        <v>-71092.711458333302</v>
      </c>
      <c r="AB22" s="56">
        <f t="shared" si="9"/>
        <v>-0.22895686586891575</v>
      </c>
    </row>
    <row r="23" spans="1:28" ht="13">
      <c r="B23" s="35" t="s">
        <v>12</v>
      </c>
      <c r="C23" s="36"/>
      <c r="D23" s="61">
        <v>693045.80249999987</v>
      </c>
      <c r="E23" s="49"/>
      <c r="F23" s="61">
        <v>5</v>
      </c>
      <c r="G23" s="49"/>
      <c r="H23" s="61">
        <v>29941.184895833332</v>
      </c>
      <c r="I23" s="61">
        <v>29941.184895833332</v>
      </c>
      <c r="J23" s="61">
        <v>29941.184895833332</v>
      </c>
      <c r="K23" s="50">
        <f t="shared" si="14"/>
        <v>89823.5546875</v>
      </c>
      <c r="L23" s="61">
        <v>29941.184895833332</v>
      </c>
      <c r="M23" s="61">
        <v>29941.184895833332</v>
      </c>
      <c r="N23" s="61">
        <v>29941.184895833332</v>
      </c>
      <c r="O23" s="50">
        <f t="shared" si="15"/>
        <v>89823.5546875</v>
      </c>
      <c r="P23" s="61">
        <v>29941.184895833332</v>
      </c>
      <c r="Q23" s="61">
        <v>29941.184895833332</v>
      </c>
      <c r="R23" s="61">
        <v>29941.184895833332</v>
      </c>
      <c r="S23" s="50">
        <f t="shared" si="16"/>
        <v>89823.5546875</v>
      </c>
      <c r="T23" s="61">
        <v>29941.184895833332</v>
      </c>
      <c r="U23" s="61">
        <v>29941.184895833332</v>
      </c>
      <c r="V23" s="61">
        <v>29941.184895833332</v>
      </c>
      <c r="W23" s="50">
        <f t="shared" si="17"/>
        <v>89823.5546875</v>
      </c>
      <c r="X23" s="36"/>
      <c r="Y23" s="35">
        <f t="shared" si="18"/>
        <v>359294.21875</v>
      </c>
      <c r="AA23" s="35">
        <f t="shared" si="8"/>
        <v>-333751.58374999987</v>
      </c>
      <c r="AB23" s="56">
        <f t="shared" si="9"/>
        <v>-0.48157218836918059</v>
      </c>
    </row>
    <row r="24" spans="1:28" ht="13">
      <c r="B24" s="35" t="s">
        <v>13</v>
      </c>
      <c r="C24" s="36"/>
      <c r="D24" s="61">
        <v>436332.2699999999</v>
      </c>
      <c r="E24" s="49"/>
      <c r="F24" s="61">
        <v>3</v>
      </c>
      <c r="G24" s="49"/>
      <c r="H24" s="61">
        <v>42975.703613281243</v>
      </c>
      <c r="I24" s="61">
        <v>42975.703613281243</v>
      </c>
      <c r="J24" s="61">
        <v>42975.703613281243</v>
      </c>
      <c r="K24" s="50">
        <f t="shared" si="14"/>
        <v>128927.11083984372</v>
      </c>
      <c r="L24" s="61">
        <v>42975.703613281243</v>
      </c>
      <c r="M24" s="61">
        <v>42975.703613281243</v>
      </c>
      <c r="N24" s="61">
        <v>42975.703613281243</v>
      </c>
      <c r="O24" s="50">
        <f t="shared" si="15"/>
        <v>128927.11083984372</v>
      </c>
      <c r="P24" s="61">
        <v>42975.703613281243</v>
      </c>
      <c r="Q24" s="61">
        <v>42975.703613281243</v>
      </c>
      <c r="R24" s="61">
        <v>42975.703613281243</v>
      </c>
      <c r="S24" s="50">
        <f t="shared" si="16"/>
        <v>128927.11083984372</v>
      </c>
      <c r="T24" s="61">
        <v>42975.703613281243</v>
      </c>
      <c r="U24" s="61">
        <v>42975.703613281243</v>
      </c>
      <c r="V24" s="61">
        <v>42975.703613281243</v>
      </c>
      <c r="W24" s="50">
        <f t="shared" si="17"/>
        <v>128927.11083984372</v>
      </c>
      <c r="X24" s="36"/>
      <c r="Y24" s="35">
        <f t="shared" si="18"/>
        <v>515708.44335937488</v>
      </c>
      <c r="AA24" s="35">
        <f t="shared" si="8"/>
        <v>79376.173359374981</v>
      </c>
      <c r="AB24" s="56">
        <f t="shared" si="9"/>
        <v>0.18191680702271917</v>
      </c>
    </row>
    <row r="25" spans="1:28" ht="13">
      <c r="B25" s="35" t="s">
        <v>105</v>
      </c>
      <c r="C25" s="36"/>
      <c r="D25" s="61">
        <v>766458.6557</v>
      </c>
      <c r="E25" s="49"/>
      <c r="F25" s="61">
        <v>7</v>
      </c>
      <c r="G25" s="49"/>
      <c r="H25" s="61">
        <v>24140.083333333332</v>
      </c>
      <c r="I25" s="61">
        <v>24140.083333333332</v>
      </c>
      <c r="J25" s="61">
        <v>24140.083333333332</v>
      </c>
      <c r="K25" s="50">
        <f t="shared" si="14"/>
        <v>72420.25</v>
      </c>
      <c r="L25" s="61">
        <v>24140.083333333332</v>
      </c>
      <c r="M25" s="61">
        <v>24140.083333333332</v>
      </c>
      <c r="N25" s="61">
        <v>24140.083333333332</v>
      </c>
      <c r="O25" s="50">
        <f t="shared" si="15"/>
        <v>72420.25</v>
      </c>
      <c r="P25" s="61">
        <v>24140.083333333332</v>
      </c>
      <c r="Q25" s="61">
        <v>24140.083333333332</v>
      </c>
      <c r="R25" s="61">
        <v>24140.083333333332</v>
      </c>
      <c r="S25" s="50">
        <f t="shared" si="16"/>
        <v>72420.25</v>
      </c>
      <c r="T25" s="61">
        <v>24140.083333333332</v>
      </c>
      <c r="U25" s="61">
        <v>24140.083333333332</v>
      </c>
      <c r="V25" s="61">
        <v>24140.083333333332</v>
      </c>
      <c r="W25" s="50">
        <f t="shared" si="17"/>
        <v>72420.25</v>
      </c>
      <c r="X25" s="36"/>
      <c r="Y25" s="35">
        <f t="shared" si="18"/>
        <v>289681</v>
      </c>
      <c r="AA25" s="35">
        <f t="shared" si="8"/>
        <v>-476777.6557</v>
      </c>
      <c r="AB25" s="56">
        <f t="shared" si="9"/>
        <v>-0.62205267323201296</v>
      </c>
    </row>
    <row r="26" spans="1:28" ht="13">
      <c r="B26" s="35" t="s">
        <v>106</v>
      </c>
      <c r="C26" s="36"/>
      <c r="D26" s="61">
        <v>687780.30865104042</v>
      </c>
      <c r="E26" s="49"/>
      <c r="F26" s="61"/>
      <c r="G26" s="49"/>
      <c r="H26" s="61">
        <v>42139.9071377851</v>
      </c>
      <c r="I26" s="61">
        <v>51556.508152822316</v>
      </c>
      <c r="J26" s="61">
        <v>45065.746702627002</v>
      </c>
      <c r="K26" s="50">
        <f t="shared" si="14"/>
        <v>138762.16199323442</v>
      </c>
      <c r="L26" s="61">
        <v>42983.974696672078</v>
      </c>
      <c r="M26" s="61">
        <v>41361.284334123251</v>
      </c>
      <c r="N26" s="61">
        <v>41361.284334123251</v>
      </c>
      <c r="O26" s="50">
        <f t="shared" si="15"/>
        <v>125706.54336491859</v>
      </c>
      <c r="P26" s="61">
        <v>41361.284334123251</v>
      </c>
      <c r="Q26" s="61">
        <v>41361.284334123251</v>
      </c>
      <c r="R26" s="61">
        <v>41361.284334123251</v>
      </c>
      <c r="S26" s="50">
        <f t="shared" si="16"/>
        <v>124083.85300236975</v>
      </c>
      <c r="T26" s="61">
        <v>41361.284334123251</v>
      </c>
      <c r="U26" s="61">
        <v>46229.355421769738</v>
      </c>
      <c r="V26" s="61">
        <v>58891.337161904601</v>
      </c>
      <c r="W26" s="50">
        <f t="shared" si="17"/>
        <v>146481.97691779758</v>
      </c>
      <c r="X26" s="36"/>
      <c r="Y26" s="42">
        <f t="shared" si="18"/>
        <v>535034.53527832031</v>
      </c>
      <c r="AA26" s="42">
        <f t="shared" si="8"/>
        <v>-152745.77337272011</v>
      </c>
      <c r="AB26" s="59">
        <f t="shared" si="9"/>
        <v>-0.22208512144278159</v>
      </c>
    </row>
    <row r="27" spans="1:28" ht="13">
      <c r="B27" s="43" t="s">
        <v>14</v>
      </c>
      <c r="C27" s="36"/>
      <c r="D27" s="44">
        <f>SUM(D20:D26)</f>
        <v>4159120.9918510402</v>
      </c>
      <c r="E27" s="45"/>
      <c r="F27" s="44">
        <f>SUM(F20:F26)</f>
        <v>31</v>
      </c>
      <c r="G27" s="45"/>
      <c r="H27" s="44">
        <f>SUM(H20:H26)</f>
        <v>171113.54564689967</v>
      </c>
      <c r="I27" s="44">
        <f>SUM(I20:I26)</f>
        <v>257723.36410985357</v>
      </c>
      <c r="J27" s="44">
        <f>SUM(J20:J26)</f>
        <v>251232.60265965824</v>
      </c>
      <c r="K27" s="44">
        <f>SUM(H27:J27)</f>
        <v>680069.51241641142</v>
      </c>
      <c r="L27" s="44">
        <f>SUM(L20:L26)</f>
        <v>242484.16398703668</v>
      </c>
      <c r="M27" s="44">
        <f>SUM(M20:M26)</f>
        <v>240861.47362448784</v>
      </c>
      <c r="N27" s="44">
        <f>SUM(N20:N26)</f>
        <v>240861.47362448784</v>
      </c>
      <c r="O27" s="44">
        <f>SUM(L27:N27)</f>
        <v>724207.11123601242</v>
      </c>
      <c r="P27" s="44">
        <f>SUM(P20:P26)</f>
        <v>240861.47362448784</v>
      </c>
      <c r="Q27" s="44">
        <f>SUM(Q20:Q26)</f>
        <v>240861.47362448784</v>
      </c>
      <c r="R27" s="44">
        <f>SUM(R20:R26)</f>
        <v>240861.47362448784</v>
      </c>
      <c r="S27" s="44">
        <f>SUM(P27:R27)</f>
        <v>722584.4208734635</v>
      </c>
      <c r="T27" s="44">
        <f>SUM(T20:T26)</f>
        <v>240861.47362448784</v>
      </c>
      <c r="U27" s="44">
        <f>SUM(U20:U26)</f>
        <v>245729.54471213435</v>
      </c>
      <c r="V27" s="44">
        <f>SUM(V20:V26)</f>
        <v>335584.74390018586</v>
      </c>
      <c r="W27" s="44">
        <f t="shared" si="17"/>
        <v>822175.76223680796</v>
      </c>
      <c r="X27" s="46"/>
      <c r="Y27" s="47">
        <f t="shared" si="18"/>
        <v>2949036.8067626953</v>
      </c>
      <c r="AA27" s="47">
        <f t="shared" si="8"/>
        <v>-1210084.1850883448</v>
      </c>
      <c r="AB27" s="56">
        <f t="shared" si="9"/>
        <v>-0.29094709854780881</v>
      </c>
    </row>
    <row r="28" spans="1:28" ht="13">
      <c r="C28" s="36"/>
      <c r="D28" s="34"/>
      <c r="E28" s="34"/>
      <c r="F28" s="34"/>
      <c r="G28" s="34"/>
      <c r="H28" s="34"/>
      <c r="I28" s="34"/>
      <c r="J28" s="34"/>
      <c r="K28" s="34"/>
      <c r="L28" s="34"/>
      <c r="M28" s="34"/>
      <c r="N28" s="34"/>
      <c r="O28" s="34"/>
      <c r="P28" s="34"/>
      <c r="Q28" s="34"/>
      <c r="R28" s="34"/>
      <c r="S28" s="34"/>
      <c r="T28" s="34"/>
      <c r="U28" s="34"/>
      <c r="V28" s="34"/>
      <c r="W28" s="34"/>
      <c r="X28" s="36"/>
    </row>
    <row r="29" spans="1:28" ht="13">
      <c r="A29" s="48" t="s">
        <v>15</v>
      </c>
      <c r="C29" s="36"/>
      <c r="X29" s="36"/>
    </row>
    <row r="30" spans="1:28" ht="13">
      <c r="B30" s="35" t="s">
        <v>107</v>
      </c>
      <c r="C30" s="36"/>
      <c r="D30" s="61">
        <v>68017.06988769531</v>
      </c>
      <c r="E30" s="49"/>
      <c r="F30" s="49"/>
      <c r="G30" s="49"/>
      <c r="H30" s="61">
        <v>5292.7657877604161</v>
      </c>
      <c r="I30" s="61">
        <v>5292.7657877604161</v>
      </c>
      <c r="J30" s="61">
        <v>5292.7657877604161</v>
      </c>
      <c r="K30" s="50">
        <f t="shared" ref="K30:K34" si="19">SUM(H30:J30)</f>
        <v>15878.297363281248</v>
      </c>
      <c r="L30" s="61">
        <v>2665.974609375</v>
      </c>
      <c r="M30" s="61">
        <v>2665.974609375</v>
      </c>
      <c r="N30" s="61">
        <v>2665.974609375</v>
      </c>
      <c r="O30" s="50">
        <f t="shared" ref="O30:O34" si="20">SUM(L30:N30)</f>
        <v>7997.923828125</v>
      </c>
      <c r="P30" s="61">
        <v>2665.974609375</v>
      </c>
      <c r="Q30" s="61">
        <v>2665.974609375</v>
      </c>
      <c r="R30" s="61">
        <v>2665.974609375</v>
      </c>
      <c r="S30" s="50">
        <f t="shared" ref="S30:S34" si="21">SUM(P30:R30)</f>
        <v>7997.923828125</v>
      </c>
      <c r="T30" s="61">
        <v>2665.974609375</v>
      </c>
      <c r="U30" s="61">
        <v>2665.974609375</v>
      </c>
      <c r="V30" s="61">
        <v>2665.974609375</v>
      </c>
      <c r="W30" s="50">
        <f t="shared" ref="W30:W35" si="22">SUM(T30:V30)</f>
        <v>7997.923828125</v>
      </c>
      <c r="X30" s="36"/>
      <c r="Y30" s="35">
        <f t="shared" ref="Y30:Y35" si="23">SUM(K30,O30,S30,W30)</f>
        <v>39872.06884765625</v>
      </c>
      <c r="AA30" s="35">
        <f t="shared" si="8"/>
        <v>-28145.00104003906</v>
      </c>
      <c r="AB30" s="56">
        <f t="shared" si="9"/>
        <v>-0.41379320053789403</v>
      </c>
    </row>
    <row r="31" spans="1:28" ht="13">
      <c r="B31" s="35" t="s">
        <v>108</v>
      </c>
      <c r="C31" s="36"/>
      <c r="D31" s="61">
        <v>78350.002812499995</v>
      </c>
      <c r="E31" s="49"/>
      <c r="F31" s="49"/>
      <c r="G31" s="49"/>
      <c r="H31" s="61">
        <v>5525.564453125</v>
      </c>
      <c r="I31" s="61">
        <v>5525.564453125</v>
      </c>
      <c r="J31" s="61">
        <v>5525.564453125</v>
      </c>
      <c r="K31" s="50">
        <f t="shared" si="19"/>
        <v>16576.693359375</v>
      </c>
      <c r="L31" s="61">
        <v>5525.564453125</v>
      </c>
      <c r="M31" s="61">
        <v>5525.564453125</v>
      </c>
      <c r="N31" s="61">
        <v>5525.564453125</v>
      </c>
      <c r="O31" s="50">
        <f t="shared" si="20"/>
        <v>16576.693359375</v>
      </c>
      <c r="P31" s="61">
        <v>5525.564453125</v>
      </c>
      <c r="Q31" s="61">
        <v>5525.564453125</v>
      </c>
      <c r="R31" s="61">
        <v>5525.564453125</v>
      </c>
      <c r="S31" s="50">
        <f t="shared" si="21"/>
        <v>16576.693359375</v>
      </c>
      <c r="T31" s="61">
        <v>5525.564453125</v>
      </c>
      <c r="U31" s="61">
        <v>5525.564453125</v>
      </c>
      <c r="V31" s="61">
        <v>5525.564453125</v>
      </c>
      <c r="W31" s="50">
        <f t="shared" si="22"/>
        <v>16576.693359375</v>
      </c>
      <c r="X31" s="36"/>
      <c r="Y31" s="35">
        <f t="shared" si="23"/>
        <v>66306.7734375</v>
      </c>
      <c r="AA31" s="35">
        <f t="shared" si="8"/>
        <v>-12043.229374999995</v>
      </c>
      <c r="AB31" s="56">
        <f t="shared" si="9"/>
        <v>-0.15371064381223754</v>
      </c>
    </row>
    <row r="32" spans="1:28" ht="13">
      <c r="B32" s="35" t="s">
        <v>16</v>
      </c>
      <c r="C32" s="36"/>
      <c r="D32" s="61">
        <v>232009.00117187499</v>
      </c>
      <c r="E32" s="49"/>
      <c r="F32" s="49"/>
      <c r="G32" s="49"/>
      <c r="H32" s="61">
        <v>0</v>
      </c>
      <c r="I32" s="61">
        <v>0</v>
      </c>
      <c r="J32" s="61">
        <v>22812.276041666664</v>
      </c>
      <c r="K32" s="50">
        <f t="shared" si="19"/>
        <v>22812.276041666664</v>
      </c>
      <c r="L32" s="61">
        <v>22812.276041666664</v>
      </c>
      <c r="M32" s="61">
        <v>22812.276041666664</v>
      </c>
      <c r="N32" s="61">
        <v>22812.276041666664</v>
      </c>
      <c r="O32" s="50">
        <f t="shared" si="20"/>
        <v>68436.828125</v>
      </c>
      <c r="P32" s="61">
        <v>22812.276041666664</v>
      </c>
      <c r="Q32" s="61">
        <v>22812.276041666664</v>
      </c>
      <c r="R32" s="61">
        <v>22812.276041666664</v>
      </c>
      <c r="S32" s="50">
        <f t="shared" si="21"/>
        <v>68436.828125</v>
      </c>
      <c r="T32" s="61">
        <v>22812.276041666664</v>
      </c>
      <c r="U32" s="61">
        <v>22812.276041666664</v>
      </c>
      <c r="V32" s="61">
        <v>0</v>
      </c>
      <c r="W32" s="50">
        <f t="shared" si="22"/>
        <v>45624.552083333328</v>
      </c>
      <c r="X32" s="36"/>
      <c r="Y32" s="35">
        <f t="shared" si="23"/>
        <v>205310.484375</v>
      </c>
      <c r="AA32" s="35">
        <f t="shared" si="8"/>
        <v>-26698.516796874988</v>
      </c>
      <c r="AB32" s="56">
        <f t="shared" si="9"/>
        <v>-0.1150753490684459</v>
      </c>
    </row>
    <row r="33" spans="1:28" ht="13">
      <c r="B33" s="35" t="s">
        <v>29</v>
      </c>
      <c r="C33" s="36"/>
      <c r="D33" s="61">
        <v>62442.998242187503</v>
      </c>
      <c r="E33" s="49"/>
      <c r="F33" s="49"/>
      <c r="G33" s="49"/>
      <c r="H33" s="61">
        <v>0</v>
      </c>
      <c r="I33" s="61">
        <v>0</v>
      </c>
      <c r="J33" s="61">
        <v>9561.2899305555547</v>
      </c>
      <c r="K33" s="50">
        <f>SUM(H33:J33)</f>
        <v>9561.2899305555547</v>
      </c>
      <c r="L33" s="61">
        <v>9561.2899305555547</v>
      </c>
      <c r="M33" s="61">
        <v>9561.2899305555547</v>
      </c>
      <c r="N33" s="61">
        <v>9561.2899305555547</v>
      </c>
      <c r="O33" s="50">
        <f>SUM(L33:N33)</f>
        <v>28683.869791666664</v>
      </c>
      <c r="P33" s="61">
        <v>9561.2899305555547</v>
      </c>
      <c r="Q33" s="61">
        <v>9561.2899305555547</v>
      </c>
      <c r="R33" s="61">
        <v>9561.2899305555547</v>
      </c>
      <c r="S33" s="50">
        <f>SUM(P33:R33)</f>
        <v>28683.869791666664</v>
      </c>
      <c r="T33" s="61">
        <v>9561.2899305555547</v>
      </c>
      <c r="U33" s="61">
        <v>9561.2899305555547</v>
      </c>
      <c r="V33" s="61">
        <v>0</v>
      </c>
      <c r="W33" s="50">
        <f>SUM(T33:V33)</f>
        <v>19122.579861111109</v>
      </c>
      <c r="X33" s="36"/>
      <c r="Y33" s="35">
        <f>SUM(K33,O33,S33,W33)</f>
        <v>86051.609374999985</v>
      </c>
      <c r="AA33" s="35">
        <f t="shared" si="8"/>
        <v>23608.611132812483</v>
      </c>
      <c r="AB33" s="56">
        <f t="shared" si="9"/>
        <v>0.37808260008985478</v>
      </c>
    </row>
    <row r="34" spans="1:28" ht="13">
      <c r="B34" s="35" t="s">
        <v>109</v>
      </c>
      <c r="C34" s="36"/>
      <c r="D34" s="61">
        <v>37623.999746093745</v>
      </c>
      <c r="E34" s="49"/>
      <c r="F34" s="49"/>
      <c r="G34" s="49"/>
      <c r="H34" s="61">
        <v>2250</v>
      </c>
      <c r="I34" s="61">
        <v>2250</v>
      </c>
      <c r="J34" s="61">
        <v>1304.8199191623262</v>
      </c>
      <c r="K34" s="50">
        <f t="shared" si="19"/>
        <v>5804.8199191623262</v>
      </c>
      <c r="L34" s="61">
        <v>1304.8199191623262</v>
      </c>
      <c r="M34" s="61">
        <v>854.8199191623263</v>
      </c>
      <c r="N34" s="61">
        <v>854.8199191623263</v>
      </c>
      <c r="O34" s="50">
        <f t="shared" si="20"/>
        <v>3014.4597574869786</v>
      </c>
      <c r="P34" s="61">
        <v>854.8199191623263</v>
      </c>
      <c r="Q34" s="61">
        <v>854.8199191623263</v>
      </c>
      <c r="R34" s="61">
        <v>854.8199191623263</v>
      </c>
      <c r="S34" s="50">
        <f t="shared" si="21"/>
        <v>2564.459757486979</v>
      </c>
      <c r="T34" s="61">
        <v>854.8199191623263</v>
      </c>
      <c r="U34" s="61">
        <v>2204.8199191623262</v>
      </c>
      <c r="V34" s="61">
        <v>2250</v>
      </c>
      <c r="W34" s="50">
        <f t="shared" si="22"/>
        <v>5309.6398383246524</v>
      </c>
      <c r="X34" s="36"/>
      <c r="Y34" s="42">
        <f t="shared" si="23"/>
        <v>16693.379272460938</v>
      </c>
      <c r="AA34" s="42">
        <f t="shared" si="8"/>
        <v>-20930.620473632807</v>
      </c>
      <c r="AB34" s="59">
        <f t="shared" si="9"/>
        <v>-0.55631035017232311</v>
      </c>
    </row>
    <row r="35" spans="1:28" ht="13">
      <c r="B35" s="43" t="s">
        <v>17</v>
      </c>
      <c r="C35" s="36"/>
      <c r="D35" s="43">
        <f>SUM(D30:D34)</f>
        <v>478443.07186035154</v>
      </c>
      <c r="E35" s="34"/>
      <c r="F35" s="34"/>
      <c r="G35" s="34"/>
      <c r="H35" s="43">
        <f>SUM(H30:H34)</f>
        <v>13068.330240885416</v>
      </c>
      <c r="I35" s="43">
        <f>SUM(I30:I34)</f>
        <v>13068.330240885416</v>
      </c>
      <c r="J35" s="43">
        <f>SUM(J30:J34)</f>
        <v>44496.716132269961</v>
      </c>
      <c r="K35" s="43">
        <f>SUM(H35:J35)</f>
        <v>70633.376614040797</v>
      </c>
      <c r="L35" s="43">
        <f>SUM(L30:L34)</f>
        <v>41869.924953884547</v>
      </c>
      <c r="M35" s="43">
        <f>SUM(M30:M34)</f>
        <v>41419.924953884547</v>
      </c>
      <c r="N35" s="43">
        <f>SUM(N30:N34)</f>
        <v>41419.924953884547</v>
      </c>
      <c r="O35" s="43">
        <f>SUM(L35:N35)</f>
        <v>124709.77486165364</v>
      </c>
      <c r="P35" s="43">
        <f>SUM(P30:P34)</f>
        <v>41419.924953884547</v>
      </c>
      <c r="Q35" s="43">
        <f>SUM(Q30:Q34)</f>
        <v>41419.924953884547</v>
      </c>
      <c r="R35" s="43">
        <f>SUM(R30:R34)</f>
        <v>41419.924953884547</v>
      </c>
      <c r="S35" s="43">
        <f>SUM(P35:R35)</f>
        <v>124259.77486165364</v>
      </c>
      <c r="T35" s="43">
        <f>SUM(T30:T34)</f>
        <v>41419.924953884547</v>
      </c>
      <c r="U35" s="43">
        <f>SUM(U30:U34)</f>
        <v>42769.924953884547</v>
      </c>
      <c r="V35" s="43">
        <f>SUM(V30:V34)</f>
        <v>10441.5390625</v>
      </c>
      <c r="W35" s="43">
        <f t="shared" si="22"/>
        <v>94631.388970269094</v>
      </c>
      <c r="X35" s="36"/>
      <c r="Y35" s="35">
        <f t="shared" si="23"/>
        <v>414234.31530761719</v>
      </c>
      <c r="AA35" s="35">
        <f t="shared" si="8"/>
        <v>-64208.756552734354</v>
      </c>
      <c r="AB35" s="56">
        <f t="shared" si="9"/>
        <v>-0.13420354547735133</v>
      </c>
    </row>
    <row r="36" spans="1:28" ht="13">
      <c r="A36" s="34"/>
      <c r="B36" s="34"/>
      <c r="C36" s="36"/>
      <c r="X36" s="36"/>
    </row>
    <row r="37" spans="1:28" ht="13">
      <c r="A37" s="48" t="s">
        <v>18</v>
      </c>
      <c r="C37" s="36"/>
      <c r="D37" s="50"/>
      <c r="E37" s="49"/>
      <c r="F37" s="49"/>
      <c r="G37" s="49"/>
      <c r="H37" s="50"/>
      <c r="I37" s="50"/>
      <c r="J37" s="50"/>
      <c r="K37" s="50"/>
      <c r="L37" s="50"/>
      <c r="M37" s="50"/>
      <c r="N37" s="50"/>
      <c r="O37" s="50"/>
      <c r="P37" s="50"/>
      <c r="Q37" s="50"/>
      <c r="R37" s="50"/>
      <c r="S37" s="50"/>
      <c r="T37" s="50"/>
      <c r="U37" s="50"/>
      <c r="V37" s="50"/>
      <c r="W37" s="50"/>
      <c r="X37" s="36"/>
    </row>
    <row r="38" spans="1:28" ht="13">
      <c r="B38" s="35" t="s">
        <v>19</v>
      </c>
      <c r="C38" s="36"/>
      <c r="D38" s="61">
        <v>0</v>
      </c>
      <c r="E38" s="49"/>
      <c r="F38" s="49"/>
      <c r="G38" s="49"/>
      <c r="H38" s="61">
        <v>0</v>
      </c>
      <c r="I38" s="61">
        <v>0</v>
      </c>
      <c r="J38" s="61">
        <v>0</v>
      </c>
      <c r="K38" s="50">
        <f t="shared" ref="K38:K43" si="24">SUM(H38:J38)</f>
        <v>0</v>
      </c>
      <c r="L38" s="61">
        <v>0</v>
      </c>
      <c r="M38" s="61">
        <v>0</v>
      </c>
      <c r="N38" s="61">
        <v>0</v>
      </c>
      <c r="O38" s="50">
        <f t="shared" ref="O38:O43" si="25">SUM(L38:N38)</f>
        <v>0</v>
      </c>
      <c r="P38" s="61">
        <v>0</v>
      </c>
      <c r="Q38" s="61">
        <v>0</v>
      </c>
      <c r="R38" s="61">
        <v>0</v>
      </c>
      <c r="S38" s="50">
        <f t="shared" ref="S38:S43" si="26">SUM(P38:R38)</f>
        <v>0</v>
      </c>
      <c r="T38" s="61">
        <v>0</v>
      </c>
      <c r="U38" s="61">
        <v>0</v>
      </c>
      <c r="V38" s="61">
        <v>0</v>
      </c>
      <c r="W38" s="50">
        <f t="shared" ref="W38:W44" si="27">SUM(T38:V38)</f>
        <v>0</v>
      </c>
      <c r="X38" s="36"/>
      <c r="Y38" s="35">
        <f t="shared" ref="Y38:Y44" si="28">SUM(K38,O38,S38,W38)</f>
        <v>0</v>
      </c>
      <c r="AA38" s="35">
        <f t="shared" si="8"/>
        <v>0</v>
      </c>
      <c r="AB38" s="56" t="str">
        <f t="shared" si="9"/>
        <v/>
      </c>
    </row>
    <row r="39" spans="1:28" ht="13">
      <c r="B39" s="35" t="s">
        <v>94</v>
      </c>
      <c r="C39" s="36"/>
      <c r="D39" s="61">
        <v>1116012.2805566406</v>
      </c>
      <c r="E39" s="49"/>
      <c r="F39" s="49"/>
      <c r="G39" s="49"/>
      <c r="H39" s="61">
        <v>94087.919270833328</v>
      </c>
      <c r="I39" s="61">
        <v>94087.919270833328</v>
      </c>
      <c r="J39" s="61">
        <v>94087.919270833328</v>
      </c>
      <c r="K39" s="50">
        <f t="shared" si="24"/>
        <v>282263.7578125</v>
      </c>
      <c r="L39" s="61">
        <v>94087.919270833328</v>
      </c>
      <c r="M39" s="61">
        <v>94087.919270833328</v>
      </c>
      <c r="N39" s="61">
        <v>94087.919270833328</v>
      </c>
      <c r="O39" s="50">
        <f t="shared" si="25"/>
        <v>282263.7578125</v>
      </c>
      <c r="P39" s="61">
        <v>94087.919270833328</v>
      </c>
      <c r="Q39" s="61">
        <v>94087.919270833328</v>
      </c>
      <c r="R39" s="61">
        <v>94087.919270833328</v>
      </c>
      <c r="S39" s="50">
        <f t="shared" si="26"/>
        <v>282263.7578125</v>
      </c>
      <c r="T39" s="61">
        <v>94087.919270833328</v>
      </c>
      <c r="U39" s="61">
        <v>94087.919270833328</v>
      </c>
      <c r="V39" s="61">
        <v>94087.919270833328</v>
      </c>
      <c r="W39" s="50">
        <f t="shared" si="27"/>
        <v>282263.7578125</v>
      </c>
      <c r="X39" s="36"/>
      <c r="Y39" s="35">
        <f t="shared" si="28"/>
        <v>1129055.03125</v>
      </c>
      <c r="AA39" s="35">
        <f t="shared" si="8"/>
        <v>13042.750693359412</v>
      </c>
      <c r="AB39" s="56">
        <f t="shared" si="9"/>
        <v>1.1686923988734242E-2</v>
      </c>
    </row>
    <row r="40" spans="1:28" ht="13">
      <c r="B40" s="35" t="s">
        <v>95</v>
      </c>
      <c r="C40" s="36"/>
      <c r="D40" s="61">
        <v>1409886.3553124999</v>
      </c>
      <c r="E40" s="49"/>
      <c r="F40" s="49"/>
      <c r="G40" s="49"/>
      <c r="H40" s="61">
        <v>115832.625</v>
      </c>
      <c r="I40" s="61">
        <v>115832.625</v>
      </c>
      <c r="J40" s="61">
        <v>115832.625</v>
      </c>
      <c r="K40" s="50">
        <f t="shared" si="24"/>
        <v>347497.875</v>
      </c>
      <c r="L40" s="61">
        <v>115832.625</v>
      </c>
      <c r="M40" s="61">
        <v>115832.625</v>
      </c>
      <c r="N40" s="61">
        <v>115832.625</v>
      </c>
      <c r="O40" s="50">
        <f t="shared" si="25"/>
        <v>347497.875</v>
      </c>
      <c r="P40" s="61">
        <v>115832.625</v>
      </c>
      <c r="Q40" s="61">
        <v>115832.625</v>
      </c>
      <c r="R40" s="61">
        <v>115832.625</v>
      </c>
      <c r="S40" s="50">
        <f t="shared" si="26"/>
        <v>347497.875</v>
      </c>
      <c r="T40" s="61">
        <v>115832.625</v>
      </c>
      <c r="U40" s="61">
        <v>115832.625</v>
      </c>
      <c r="V40" s="61">
        <v>115832.625</v>
      </c>
      <c r="W40" s="50">
        <f t="shared" si="27"/>
        <v>347497.875</v>
      </c>
      <c r="X40" s="36"/>
      <c r="Y40" s="35">
        <f t="shared" si="28"/>
        <v>1389991.5</v>
      </c>
      <c r="AA40" s="35">
        <f t="shared" si="8"/>
        <v>-19894.855312499916</v>
      </c>
      <c r="AB40" s="56">
        <f t="shared" si="9"/>
        <v>-1.4110963793312434E-2</v>
      </c>
    </row>
    <row r="41" spans="1:28" ht="13">
      <c r="B41" s="35" t="s">
        <v>20</v>
      </c>
      <c r="C41" s="36"/>
      <c r="D41" s="61">
        <v>159102.488984375</v>
      </c>
      <c r="E41" s="49"/>
      <c r="F41" s="49"/>
      <c r="G41" s="49"/>
      <c r="H41" s="61">
        <v>16900.764322916664</v>
      </c>
      <c r="I41" s="61">
        <v>16900.764322916664</v>
      </c>
      <c r="J41" s="61">
        <v>16900.764322916664</v>
      </c>
      <c r="K41" s="50">
        <f t="shared" si="24"/>
        <v>50702.292968749993</v>
      </c>
      <c r="L41" s="61">
        <v>16900.764322916664</v>
      </c>
      <c r="M41" s="61">
        <v>16900.764322916664</v>
      </c>
      <c r="N41" s="61">
        <v>16900.764322916664</v>
      </c>
      <c r="O41" s="50">
        <f t="shared" si="25"/>
        <v>50702.292968749993</v>
      </c>
      <c r="P41" s="61">
        <v>16900.764322916664</v>
      </c>
      <c r="Q41" s="61">
        <v>16900.764322916664</v>
      </c>
      <c r="R41" s="61">
        <v>16900.764322916664</v>
      </c>
      <c r="S41" s="50">
        <f t="shared" si="26"/>
        <v>50702.292968749993</v>
      </c>
      <c r="T41" s="61">
        <v>16900.764322916664</v>
      </c>
      <c r="U41" s="61">
        <v>16900.764322916664</v>
      </c>
      <c r="V41" s="61">
        <v>16900.764322916664</v>
      </c>
      <c r="W41" s="50">
        <f t="shared" si="27"/>
        <v>50702.292968749993</v>
      </c>
      <c r="X41" s="36"/>
      <c r="Y41" s="35">
        <f t="shared" si="28"/>
        <v>202809.17187499997</v>
      </c>
      <c r="AA41" s="35">
        <f t="shared" si="8"/>
        <v>43706.682890624972</v>
      </c>
      <c r="AB41" s="56">
        <f t="shared" si="9"/>
        <v>0.27470772562783274</v>
      </c>
    </row>
    <row r="42" spans="1:28" ht="13">
      <c r="B42" s="35" t="s">
        <v>21</v>
      </c>
      <c r="C42" s="36"/>
      <c r="D42" s="61">
        <v>420020.81640625006</v>
      </c>
      <c r="E42" s="49"/>
      <c r="F42" s="49"/>
      <c r="G42" s="49"/>
      <c r="H42" s="61">
        <v>19821.062744140625</v>
      </c>
      <c r="I42" s="61">
        <v>19821.062744140625</v>
      </c>
      <c r="J42" s="61">
        <v>19821.062744140625</v>
      </c>
      <c r="K42" s="50">
        <f t="shared" si="24"/>
        <v>59463.188232421875</v>
      </c>
      <c r="L42" s="61">
        <v>19821.062744140625</v>
      </c>
      <c r="M42" s="61">
        <v>19821.062744140625</v>
      </c>
      <c r="N42" s="61">
        <v>19821.062744140625</v>
      </c>
      <c r="O42" s="50">
        <f t="shared" si="25"/>
        <v>59463.188232421875</v>
      </c>
      <c r="P42" s="61">
        <v>19821.062744140625</v>
      </c>
      <c r="Q42" s="61">
        <v>19821.062744140625</v>
      </c>
      <c r="R42" s="61">
        <v>19821.062744140625</v>
      </c>
      <c r="S42" s="50">
        <f t="shared" si="26"/>
        <v>59463.188232421875</v>
      </c>
      <c r="T42" s="61">
        <v>19821.062744140625</v>
      </c>
      <c r="U42" s="61">
        <v>19821.062744140625</v>
      </c>
      <c r="V42" s="61">
        <v>19821.062744140625</v>
      </c>
      <c r="W42" s="50">
        <f t="shared" si="27"/>
        <v>59463.188232421875</v>
      </c>
      <c r="X42" s="36"/>
      <c r="Y42" s="35">
        <f t="shared" si="28"/>
        <v>237852.7529296875</v>
      </c>
      <c r="AA42" s="35">
        <f t="shared" si="8"/>
        <v>-182168.06347656256</v>
      </c>
      <c r="AB42" s="56">
        <f t="shared" si="9"/>
        <v>-0.43371198845622699</v>
      </c>
    </row>
    <row r="43" spans="1:28" ht="13">
      <c r="B43" s="35" t="s">
        <v>96</v>
      </c>
      <c r="C43" s="36"/>
      <c r="D43" s="61">
        <v>193000.0047265625</v>
      </c>
      <c r="E43" s="49"/>
      <c r="F43" s="49"/>
      <c r="G43" s="49"/>
      <c r="H43" s="61">
        <v>15835.4921875</v>
      </c>
      <c r="I43" s="61">
        <v>15835.4921875</v>
      </c>
      <c r="J43" s="61">
        <v>15835.4921875</v>
      </c>
      <c r="K43" s="50">
        <f t="shared" si="24"/>
        <v>47506.4765625</v>
      </c>
      <c r="L43" s="61">
        <v>15835.4921875</v>
      </c>
      <c r="M43" s="61">
        <v>15835.4921875</v>
      </c>
      <c r="N43" s="61">
        <v>15835.4921875</v>
      </c>
      <c r="O43" s="50">
        <f t="shared" si="25"/>
        <v>47506.4765625</v>
      </c>
      <c r="P43" s="61">
        <v>15835.4921875</v>
      </c>
      <c r="Q43" s="61">
        <v>15835.4921875</v>
      </c>
      <c r="R43" s="61">
        <v>15835.4921875</v>
      </c>
      <c r="S43" s="50">
        <f t="shared" si="26"/>
        <v>47506.4765625</v>
      </c>
      <c r="T43" s="61">
        <v>15835.4921875</v>
      </c>
      <c r="U43" s="61">
        <v>15835.4921875</v>
      </c>
      <c r="V43" s="61">
        <v>15835.4921875</v>
      </c>
      <c r="W43" s="50">
        <f t="shared" si="27"/>
        <v>47506.4765625</v>
      </c>
      <c r="X43" s="36"/>
      <c r="Y43" s="42">
        <f t="shared" si="28"/>
        <v>190025.90625</v>
      </c>
      <c r="AA43" s="42">
        <f t="shared" si="8"/>
        <v>-2974.0984765625035</v>
      </c>
      <c r="AB43" s="59">
        <f t="shared" si="9"/>
        <v>-1.5409836288740668E-2</v>
      </c>
    </row>
    <row r="44" spans="1:28" ht="13">
      <c r="B44" s="43" t="s">
        <v>22</v>
      </c>
      <c r="C44" s="36"/>
      <c r="D44" s="43">
        <f>SUM(D38:D43)</f>
        <v>3298021.9459863282</v>
      </c>
      <c r="E44" s="34"/>
      <c r="F44" s="34"/>
      <c r="G44" s="34"/>
      <c r="H44" s="43">
        <f>SUM(H38:H43)</f>
        <v>262477.86352539062</v>
      </c>
      <c r="I44" s="43">
        <f>SUM(I38:I43)</f>
        <v>262477.86352539062</v>
      </c>
      <c r="J44" s="43">
        <f>SUM(J38:J43)</f>
        <v>262477.86352539062</v>
      </c>
      <c r="K44" s="43">
        <f>SUM(H44:J44)</f>
        <v>787433.59057617188</v>
      </c>
      <c r="L44" s="43">
        <f>SUM(L38:L43)</f>
        <v>262477.86352539062</v>
      </c>
      <c r="M44" s="43">
        <f>SUM(M38:M43)</f>
        <v>262477.86352539062</v>
      </c>
      <c r="N44" s="43">
        <f>SUM(N38:N43)</f>
        <v>262477.86352539062</v>
      </c>
      <c r="O44" s="43">
        <f>SUM(L44:N44)</f>
        <v>787433.59057617188</v>
      </c>
      <c r="P44" s="43">
        <f>SUM(P38:P43)</f>
        <v>262477.86352539062</v>
      </c>
      <c r="Q44" s="43">
        <f>SUM(Q38:Q43)</f>
        <v>262477.86352539062</v>
      </c>
      <c r="R44" s="43">
        <f>SUM(R38:R43)</f>
        <v>262477.86352539062</v>
      </c>
      <c r="S44" s="43">
        <f>SUM(P44:R44)</f>
        <v>787433.59057617188</v>
      </c>
      <c r="T44" s="43">
        <f>SUM(T38:T43)</f>
        <v>262477.86352539062</v>
      </c>
      <c r="U44" s="43">
        <f>SUM(U38:U43)</f>
        <v>262477.86352539062</v>
      </c>
      <c r="V44" s="43">
        <f>SUM(V38:V43)</f>
        <v>262477.86352539062</v>
      </c>
      <c r="W44" s="43">
        <f t="shared" si="27"/>
        <v>787433.59057617188</v>
      </c>
      <c r="X44" s="36"/>
      <c r="Y44" s="35">
        <f t="shared" si="28"/>
        <v>3149734.3623046875</v>
      </c>
      <c r="AA44" s="35">
        <f t="shared" si="8"/>
        <v>-148287.58368164068</v>
      </c>
      <c r="AB44" s="56">
        <f t="shared" si="9"/>
        <v>-4.4962582454039071E-2</v>
      </c>
    </row>
    <row r="45" spans="1:28" ht="13">
      <c r="B45" s="34"/>
      <c r="C45" s="36"/>
      <c r="D45" s="34"/>
      <c r="E45" s="34"/>
      <c r="F45" s="34"/>
      <c r="G45" s="34"/>
      <c r="H45" s="34"/>
      <c r="I45" s="34"/>
      <c r="J45" s="34"/>
      <c r="K45" s="34"/>
      <c r="L45" s="34"/>
      <c r="M45" s="34"/>
      <c r="N45" s="34"/>
      <c r="O45" s="34"/>
      <c r="P45" s="34"/>
      <c r="Q45" s="34"/>
      <c r="R45" s="34"/>
      <c r="S45" s="34"/>
      <c r="T45" s="34"/>
      <c r="U45" s="34"/>
      <c r="V45" s="34"/>
      <c r="W45" s="34"/>
      <c r="X45" s="36"/>
    </row>
    <row r="46" spans="1:28" ht="13">
      <c r="A46" s="48" t="s">
        <v>98</v>
      </c>
      <c r="C46" s="36"/>
      <c r="X46" s="36"/>
    </row>
    <row r="47" spans="1:28" ht="13">
      <c r="B47" s="35" t="s">
        <v>23</v>
      </c>
      <c r="C47" s="36"/>
      <c r="D47" s="61">
        <v>34087.788730468747</v>
      </c>
      <c r="E47" s="49"/>
      <c r="F47" s="49"/>
      <c r="G47" s="49"/>
      <c r="H47" s="61">
        <v>1665.2080078125</v>
      </c>
      <c r="I47" s="61">
        <v>1665.2080078125</v>
      </c>
      <c r="J47" s="61">
        <v>1665.2080078125</v>
      </c>
      <c r="K47" s="50">
        <f t="shared" ref="K47:K59" si="29">SUM(H47:J47)</f>
        <v>4995.6240234375</v>
      </c>
      <c r="L47" s="61">
        <v>1665.2080078125</v>
      </c>
      <c r="M47" s="61">
        <v>1665.2080078125</v>
      </c>
      <c r="N47" s="61">
        <v>1665.2080078125</v>
      </c>
      <c r="O47" s="50">
        <f t="shared" ref="O47:O59" si="30">SUM(L47:N47)</f>
        <v>4995.6240234375</v>
      </c>
      <c r="P47" s="61">
        <v>1665.2080078125</v>
      </c>
      <c r="Q47" s="61">
        <v>1665.2080078125</v>
      </c>
      <c r="R47" s="61">
        <v>1665.2080078125</v>
      </c>
      <c r="S47" s="50">
        <f t="shared" ref="S47:S59" si="31">SUM(P47:R47)</f>
        <v>4995.6240234375</v>
      </c>
      <c r="T47" s="61">
        <v>1665.2080078125</v>
      </c>
      <c r="U47" s="61">
        <v>1665.2080078125</v>
      </c>
      <c r="V47" s="61">
        <v>1665.2080078125</v>
      </c>
      <c r="W47" s="50">
        <f t="shared" ref="W47:W59" si="32">SUM(T47:V47)</f>
        <v>4995.6240234375</v>
      </c>
      <c r="X47" s="36"/>
      <c r="Y47" s="35">
        <f t="shared" ref="Y47:Y59" si="33">SUM(K47,O47,S47,W47)</f>
        <v>19982.49609375</v>
      </c>
      <c r="AA47" s="35">
        <f t="shared" si="8"/>
        <v>-14105.292636718747</v>
      </c>
      <c r="AB47" s="56">
        <f t="shared" si="9"/>
        <v>-0.41379312539891999</v>
      </c>
    </row>
    <row r="48" spans="1:28" ht="13">
      <c r="B48" s="35" t="s">
        <v>24</v>
      </c>
      <c r="C48" s="36"/>
      <c r="D48" s="61">
        <v>65210.878417968757</v>
      </c>
      <c r="E48" s="49"/>
      <c r="F48" s="49"/>
      <c r="G48" s="49"/>
      <c r="H48" s="61">
        <v>3542.8505859375</v>
      </c>
      <c r="I48" s="61">
        <v>3542.8505859375</v>
      </c>
      <c r="J48" s="61">
        <v>3542.8505859375</v>
      </c>
      <c r="K48" s="50">
        <f t="shared" si="29"/>
        <v>10628.5517578125</v>
      </c>
      <c r="L48" s="61">
        <v>3542.8505859375</v>
      </c>
      <c r="M48" s="61">
        <v>3542.8505859375</v>
      </c>
      <c r="N48" s="61">
        <v>3542.8505859375</v>
      </c>
      <c r="O48" s="50">
        <f t="shared" si="30"/>
        <v>10628.5517578125</v>
      </c>
      <c r="P48" s="61">
        <v>3542.8505859375</v>
      </c>
      <c r="Q48" s="61">
        <v>3542.8505859375</v>
      </c>
      <c r="R48" s="61">
        <v>3542.8505859375</v>
      </c>
      <c r="S48" s="50">
        <f t="shared" si="31"/>
        <v>10628.5517578125</v>
      </c>
      <c r="T48" s="61">
        <v>3542.8505859375</v>
      </c>
      <c r="U48" s="61">
        <v>3542.8505859375</v>
      </c>
      <c r="V48" s="61">
        <v>3542.8505859375</v>
      </c>
      <c r="W48" s="50">
        <f t="shared" si="32"/>
        <v>10628.5517578125</v>
      </c>
      <c r="X48" s="36"/>
      <c r="Y48" s="35">
        <f t="shared" si="33"/>
        <v>42514.20703125</v>
      </c>
      <c r="AA48" s="35">
        <f t="shared" si="8"/>
        <v>-22696.671386718757</v>
      </c>
      <c r="AB48" s="56">
        <f t="shared" si="9"/>
        <v>-0.34805038572313918</v>
      </c>
    </row>
    <row r="49" spans="1:28" ht="13">
      <c r="B49" s="35" t="s">
        <v>25</v>
      </c>
      <c r="C49" s="36"/>
      <c r="D49" s="61">
        <v>82788.239999999991</v>
      </c>
      <c r="E49" s="49"/>
      <c r="F49" s="49"/>
      <c r="G49" s="49"/>
      <c r="H49" s="61">
        <v>5693.050130208333</v>
      </c>
      <c r="I49" s="61">
        <v>5693.050130208333</v>
      </c>
      <c r="J49" s="61">
        <v>5693.050130208333</v>
      </c>
      <c r="K49" s="50">
        <f t="shared" si="29"/>
        <v>17079.150390625</v>
      </c>
      <c r="L49" s="61">
        <v>5693.050130208333</v>
      </c>
      <c r="M49" s="61">
        <v>5693.050130208333</v>
      </c>
      <c r="N49" s="61">
        <v>5693.050130208333</v>
      </c>
      <c r="O49" s="50">
        <f t="shared" si="30"/>
        <v>17079.150390625</v>
      </c>
      <c r="P49" s="61">
        <v>5693.050130208333</v>
      </c>
      <c r="Q49" s="61">
        <v>5693.050130208333</v>
      </c>
      <c r="R49" s="61">
        <v>5693.050130208333</v>
      </c>
      <c r="S49" s="50">
        <f t="shared" si="31"/>
        <v>17079.150390625</v>
      </c>
      <c r="T49" s="61">
        <v>5693.050130208333</v>
      </c>
      <c r="U49" s="61">
        <v>5693.050130208333</v>
      </c>
      <c r="V49" s="61">
        <v>5693.050130208333</v>
      </c>
      <c r="W49" s="50">
        <f t="shared" si="32"/>
        <v>17079.150390625</v>
      </c>
      <c r="X49" s="36"/>
      <c r="Y49" s="35">
        <f t="shared" si="33"/>
        <v>68316.6015625</v>
      </c>
      <c r="AA49" s="35">
        <f t="shared" si="8"/>
        <v>-14471.638437499991</v>
      </c>
      <c r="AB49" s="56">
        <f t="shared" si="9"/>
        <v>-0.1748030691013602</v>
      </c>
    </row>
    <row r="50" spans="1:28" ht="13">
      <c r="B50" s="35" t="s">
        <v>26</v>
      </c>
      <c r="C50" s="36"/>
      <c r="D50" s="61">
        <v>197586.0028125</v>
      </c>
      <c r="E50" s="49"/>
      <c r="F50" s="49"/>
      <c r="G50" s="49"/>
      <c r="H50" s="61">
        <v>17414.629231770832</v>
      </c>
      <c r="I50" s="61">
        <v>17414.629231770832</v>
      </c>
      <c r="J50" s="61">
        <v>17414.629231770832</v>
      </c>
      <c r="K50" s="50">
        <f t="shared" si="29"/>
        <v>52243.8876953125</v>
      </c>
      <c r="L50" s="61">
        <v>17414.629231770832</v>
      </c>
      <c r="M50" s="61">
        <v>17414.629231770832</v>
      </c>
      <c r="N50" s="61">
        <v>17414.629231770832</v>
      </c>
      <c r="O50" s="50">
        <f t="shared" si="30"/>
        <v>52243.8876953125</v>
      </c>
      <c r="P50" s="61">
        <v>17414.629231770832</v>
      </c>
      <c r="Q50" s="61">
        <v>17414.629231770832</v>
      </c>
      <c r="R50" s="61">
        <v>17414.629231770832</v>
      </c>
      <c r="S50" s="50">
        <f t="shared" si="31"/>
        <v>52243.8876953125</v>
      </c>
      <c r="T50" s="61">
        <v>17414.629231770832</v>
      </c>
      <c r="U50" s="61">
        <v>17414.629231770832</v>
      </c>
      <c r="V50" s="61">
        <v>17414.629231770832</v>
      </c>
      <c r="W50" s="50">
        <f t="shared" si="32"/>
        <v>52243.8876953125</v>
      </c>
      <c r="X50" s="36"/>
      <c r="Y50" s="35">
        <f t="shared" si="33"/>
        <v>208975.55078125</v>
      </c>
      <c r="AA50" s="35">
        <f t="shared" si="8"/>
        <v>11389.547968750005</v>
      </c>
      <c r="AB50" s="56">
        <f t="shared" si="9"/>
        <v>5.7643496030223153E-2</v>
      </c>
    </row>
    <row r="51" spans="1:28" ht="13">
      <c r="B51" s="35" t="s">
        <v>27</v>
      </c>
      <c r="C51" s="36"/>
      <c r="D51" s="61">
        <v>97168.003750000003</v>
      </c>
      <c r="E51" s="49"/>
      <c r="F51" s="49"/>
      <c r="G51" s="49"/>
      <c r="H51" s="61">
        <v>6323.5006510416661</v>
      </c>
      <c r="I51" s="61">
        <v>6323.5006510416661</v>
      </c>
      <c r="J51" s="61">
        <v>6323.5006510416661</v>
      </c>
      <c r="K51" s="50">
        <f t="shared" si="29"/>
        <v>18970.501953125</v>
      </c>
      <c r="L51" s="61">
        <v>6323.5006510416661</v>
      </c>
      <c r="M51" s="61">
        <v>6323.5006510416661</v>
      </c>
      <c r="N51" s="61">
        <v>6323.5006510416661</v>
      </c>
      <c r="O51" s="50">
        <f t="shared" si="30"/>
        <v>18970.501953125</v>
      </c>
      <c r="P51" s="61">
        <v>6323.5006510416661</v>
      </c>
      <c r="Q51" s="61">
        <v>6323.5006510416661</v>
      </c>
      <c r="R51" s="61">
        <v>6323.5006510416661</v>
      </c>
      <c r="S51" s="50">
        <f t="shared" si="31"/>
        <v>18970.501953125</v>
      </c>
      <c r="T51" s="61">
        <v>6323.5006510416661</v>
      </c>
      <c r="U51" s="61">
        <v>6323.5006510416661</v>
      </c>
      <c r="V51" s="61">
        <v>6323.5006510416661</v>
      </c>
      <c r="W51" s="50">
        <f t="shared" ref="W51:W56" si="34">SUM(T51:V51)</f>
        <v>18970.501953125</v>
      </c>
      <c r="X51" s="36"/>
      <c r="Y51" s="35">
        <f t="shared" ref="Y51:Y56" si="35">SUM(K51,O51,S51,W51)</f>
        <v>75882.0078125</v>
      </c>
      <c r="AA51" s="35">
        <f t="shared" si="8"/>
        <v>-21285.995937500003</v>
      </c>
      <c r="AB51" s="56">
        <f t="shared" si="9"/>
        <v>-0.21906383908293478</v>
      </c>
    </row>
    <row r="52" spans="1:28" ht="13">
      <c r="B52" s="35" t="s">
        <v>28</v>
      </c>
      <c r="C52" s="36"/>
      <c r="D52" s="61">
        <v>0</v>
      </c>
      <c r="E52" s="49"/>
      <c r="F52" s="49"/>
      <c r="G52" s="49"/>
      <c r="H52" s="61">
        <v>0</v>
      </c>
      <c r="I52" s="61">
        <v>0</v>
      </c>
      <c r="J52" s="61">
        <v>0</v>
      </c>
      <c r="K52" s="50">
        <f t="shared" si="29"/>
        <v>0</v>
      </c>
      <c r="L52" s="61">
        <v>0</v>
      </c>
      <c r="M52" s="61">
        <v>0</v>
      </c>
      <c r="N52" s="61">
        <v>0</v>
      </c>
      <c r="O52" s="50">
        <f t="shared" si="30"/>
        <v>0</v>
      </c>
      <c r="P52" s="61">
        <v>0</v>
      </c>
      <c r="Q52" s="61">
        <v>0</v>
      </c>
      <c r="R52" s="61">
        <v>0</v>
      </c>
      <c r="S52" s="50">
        <f t="shared" si="31"/>
        <v>0</v>
      </c>
      <c r="T52" s="61">
        <v>0</v>
      </c>
      <c r="U52" s="61">
        <v>0</v>
      </c>
      <c r="V52" s="61">
        <v>0</v>
      </c>
      <c r="W52" s="50">
        <f t="shared" si="34"/>
        <v>0</v>
      </c>
      <c r="X52" s="36"/>
      <c r="Y52" s="35">
        <f t="shared" si="35"/>
        <v>0</v>
      </c>
      <c r="AA52" s="35">
        <f t="shared" si="8"/>
        <v>0</v>
      </c>
      <c r="AB52" s="56" t="str">
        <f t="shared" si="9"/>
        <v/>
      </c>
    </row>
    <row r="53" spans="1:28" ht="13">
      <c r="B53" s="35" t="s">
        <v>99</v>
      </c>
      <c r="C53" s="36"/>
      <c r="D53" s="61">
        <v>150674.11201171874</v>
      </c>
      <c r="E53" s="49"/>
      <c r="F53" s="49"/>
      <c r="G53" s="49"/>
      <c r="H53" s="61">
        <v>4333.5615437825518</v>
      </c>
      <c r="I53" s="61">
        <v>4333.5615437825518</v>
      </c>
      <c r="J53" s="61">
        <v>4333.5615437825518</v>
      </c>
      <c r="K53" s="50">
        <f t="shared" si="29"/>
        <v>13000.684631347656</v>
      </c>
      <c r="L53" s="61">
        <v>4333.5615437825518</v>
      </c>
      <c r="M53" s="61">
        <v>4333.5615437825518</v>
      </c>
      <c r="N53" s="61">
        <v>4333.5615437825518</v>
      </c>
      <c r="O53" s="50">
        <f t="shared" si="30"/>
        <v>13000.684631347656</v>
      </c>
      <c r="P53" s="61">
        <v>4333.5615437825518</v>
      </c>
      <c r="Q53" s="61">
        <v>4333.5615437825518</v>
      </c>
      <c r="R53" s="61">
        <v>4333.5615437825518</v>
      </c>
      <c r="S53" s="50">
        <f t="shared" si="31"/>
        <v>13000.684631347656</v>
      </c>
      <c r="T53" s="61">
        <v>4333.5615437825518</v>
      </c>
      <c r="U53" s="61">
        <v>4333.5615437825518</v>
      </c>
      <c r="V53" s="61">
        <v>4333.5615437825518</v>
      </c>
      <c r="W53" s="50">
        <f t="shared" si="34"/>
        <v>13000.684631347656</v>
      </c>
      <c r="X53" s="36"/>
      <c r="Y53" s="35">
        <f t="shared" si="35"/>
        <v>52002.738525390625</v>
      </c>
      <c r="AA53" s="35">
        <f t="shared" si="8"/>
        <v>-98671.373486328113</v>
      </c>
      <c r="AB53" s="56">
        <f t="shared" si="9"/>
        <v>-0.65486613572113772</v>
      </c>
    </row>
    <row r="54" spans="1:28" ht="13">
      <c r="B54" s="35" t="s">
        <v>100</v>
      </c>
      <c r="C54" s="36"/>
      <c r="D54" s="61">
        <v>66532.000624999986</v>
      </c>
      <c r="E54" s="49"/>
      <c r="F54" s="49"/>
      <c r="G54" s="49"/>
      <c r="H54" s="61">
        <v>0</v>
      </c>
      <c r="I54" s="61">
        <v>0</v>
      </c>
      <c r="J54" s="61">
        <v>0</v>
      </c>
      <c r="K54" s="50">
        <f t="shared" si="29"/>
        <v>0</v>
      </c>
      <c r="L54" s="61">
        <v>14362.899739583332</v>
      </c>
      <c r="M54" s="61">
        <v>3590.724934895833</v>
      </c>
      <c r="N54" s="61">
        <v>3590.724934895833</v>
      </c>
      <c r="O54" s="50">
        <f t="shared" si="30"/>
        <v>21544.349609374996</v>
      </c>
      <c r="P54" s="61">
        <v>3590.724934895833</v>
      </c>
      <c r="Q54" s="61">
        <v>3590.724934895833</v>
      </c>
      <c r="R54" s="61">
        <v>3590.724934895833</v>
      </c>
      <c r="S54" s="50">
        <f t="shared" si="31"/>
        <v>10772.1748046875</v>
      </c>
      <c r="T54" s="61">
        <v>3590.724934895833</v>
      </c>
      <c r="U54" s="61">
        <v>3590.724934895833</v>
      </c>
      <c r="V54" s="61">
        <v>3590.724934895833</v>
      </c>
      <c r="W54" s="50">
        <f t="shared" si="34"/>
        <v>10772.1748046875</v>
      </c>
      <c r="X54" s="36"/>
      <c r="Y54" s="35">
        <f t="shared" si="35"/>
        <v>43088.69921875</v>
      </c>
      <c r="AA54" s="35">
        <f t="shared" si="8"/>
        <v>-23443.301406249986</v>
      </c>
      <c r="AB54" s="56">
        <f t="shared" si="9"/>
        <v>-0.3523612875912972</v>
      </c>
    </row>
    <row r="55" spans="1:28" ht="13">
      <c r="B55" s="35" t="s">
        <v>30</v>
      </c>
      <c r="C55" s="36"/>
      <c r="D55" s="61">
        <v>1353622.9828125001</v>
      </c>
      <c r="E55" s="49"/>
      <c r="F55" s="49"/>
      <c r="G55" s="49"/>
      <c r="H55" s="61">
        <v>0</v>
      </c>
      <c r="I55" s="61">
        <v>0</v>
      </c>
      <c r="J55" s="61">
        <v>0</v>
      </c>
      <c r="K55" s="50">
        <f t="shared" si="29"/>
        <v>0</v>
      </c>
      <c r="L55" s="61">
        <v>0</v>
      </c>
      <c r="M55" s="61">
        <v>0</v>
      </c>
      <c r="N55" s="61">
        <v>0</v>
      </c>
      <c r="O55" s="50">
        <f t="shared" si="30"/>
        <v>0</v>
      </c>
      <c r="P55" s="61">
        <v>0</v>
      </c>
      <c r="Q55" s="61">
        <v>0</v>
      </c>
      <c r="R55" s="61">
        <v>0</v>
      </c>
      <c r="S55" s="50">
        <f t="shared" si="31"/>
        <v>0</v>
      </c>
      <c r="T55" s="61">
        <v>0</v>
      </c>
      <c r="U55" s="61">
        <v>0</v>
      </c>
      <c r="V55" s="61">
        <v>0</v>
      </c>
      <c r="W55" s="50">
        <f t="shared" si="34"/>
        <v>0</v>
      </c>
      <c r="X55" s="36"/>
      <c r="Y55" s="35">
        <f t="shared" si="35"/>
        <v>0</v>
      </c>
      <c r="AA55" s="35">
        <f t="shared" si="8"/>
        <v>-1353622.9828125001</v>
      </c>
      <c r="AB55" s="56">
        <f t="shared" si="9"/>
        <v>-1</v>
      </c>
    </row>
    <row r="56" spans="1:28" ht="13">
      <c r="B56" s="35" t="s">
        <v>101</v>
      </c>
      <c r="C56" s="36"/>
      <c r="D56" s="61">
        <v>0</v>
      </c>
      <c r="E56" s="49"/>
      <c r="F56" s="49"/>
      <c r="G56" s="49"/>
      <c r="H56" s="61">
        <v>0</v>
      </c>
      <c r="I56" s="61">
        <v>0</v>
      </c>
      <c r="J56" s="61">
        <v>0</v>
      </c>
      <c r="K56" s="50">
        <f t="shared" si="29"/>
        <v>0</v>
      </c>
      <c r="L56" s="61">
        <v>0</v>
      </c>
      <c r="M56" s="61">
        <v>0</v>
      </c>
      <c r="N56" s="61">
        <v>0</v>
      </c>
      <c r="O56" s="50">
        <f t="shared" si="30"/>
        <v>0</v>
      </c>
      <c r="P56" s="61">
        <v>0</v>
      </c>
      <c r="Q56" s="61">
        <v>0</v>
      </c>
      <c r="R56" s="61">
        <v>0</v>
      </c>
      <c r="S56" s="50">
        <f t="shared" si="31"/>
        <v>0</v>
      </c>
      <c r="T56" s="61">
        <v>0</v>
      </c>
      <c r="U56" s="61">
        <v>0</v>
      </c>
      <c r="V56" s="61">
        <v>0</v>
      </c>
      <c r="W56" s="50">
        <f t="shared" si="34"/>
        <v>0</v>
      </c>
      <c r="X56" s="36"/>
      <c r="Y56" s="35">
        <f t="shared" si="35"/>
        <v>0</v>
      </c>
      <c r="AA56" s="35">
        <f t="shared" si="8"/>
        <v>0</v>
      </c>
      <c r="AB56" s="56" t="str">
        <f t="shared" si="9"/>
        <v/>
      </c>
    </row>
    <row r="57" spans="1:28" ht="13">
      <c r="B57" s="35" t="s">
        <v>102</v>
      </c>
      <c r="C57" s="36"/>
      <c r="D57" s="61">
        <v>206847.48</v>
      </c>
      <c r="E57" s="49"/>
      <c r="F57" s="49"/>
      <c r="G57" s="49"/>
      <c r="H57" s="61">
        <v>14649.252604166666</v>
      </c>
      <c r="I57" s="61">
        <v>14649.252604166666</v>
      </c>
      <c r="J57" s="61">
        <v>14649.252604166666</v>
      </c>
      <c r="K57" s="50">
        <f t="shared" si="29"/>
        <v>43947.7578125</v>
      </c>
      <c r="L57" s="61">
        <v>14649.252604166666</v>
      </c>
      <c r="M57" s="61">
        <v>14649.252604166666</v>
      </c>
      <c r="N57" s="61">
        <v>14649.252604166666</v>
      </c>
      <c r="O57" s="50">
        <f t="shared" si="30"/>
        <v>43947.7578125</v>
      </c>
      <c r="P57" s="61">
        <v>14649.252604166666</v>
      </c>
      <c r="Q57" s="61">
        <v>14649.252604166666</v>
      </c>
      <c r="R57" s="61">
        <v>14649.252604166666</v>
      </c>
      <c r="S57" s="50">
        <f t="shared" si="31"/>
        <v>43947.7578125</v>
      </c>
      <c r="T57" s="61">
        <v>14649.252604166666</v>
      </c>
      <c r="U57" s="61">
        <v>14649.252604166666</v>
      </c>
      <c r="V57" s="61">
        <v>14649.252604166666</v>
      </c>
      <c r="W57" s="50">
        <f t="shared" si="32"/>
        <v>43947.7578125</v>
      </c>
      <c r="X57" s="36"/>
      <c r="Y57" s="35">
        <f t="shared" si="33"/>
        <v>175791.03125</v>
      </c>
      <c r="AA57" s="35">
        <f t="shared" si="8"/>
        <v>-31056.44875000001</v>
      </c>
      <c r="AB57" s="56">
        <f t="shared" si="9"/>
        <v>-0.1501417795856155</v>
      </c>
    </row>
    <row r="58" spans="1:28" ht="13">
      <c r="B58" s="35" t="s">
        <v>31</v>
      </c>
      <c r="C58" s="36"/>
      <c r="D58" s="61">
        <v>377769.48232604982</v>
      </c>
      <c r="E58" s="49"/>
      <c r="F58" s="49"/>
      <c r="G58" s="49"/>
      <c r="H58" s="61">
        <v>34517.615969340004</v>
      </c>
      <c r="I58" s="61">
        <v>34517.615969340004</v>
      </c>
      <c r="J58" s="61">
        <v>34517.615969340004</v>
      </c>
      <c r="K58" s="50">
        <f t="shared" si="29"/>
        <v>103552.84790802002</v>
      </c>
      <c r="L58" s="61">
        <v>33572.259686787918</v>
      </c>
      <c r="M58" s="61">
        <v>33572.259686787918</v>
      </c>
      <c r="N58" s="61">
        <v>33572.259686787918</v>
      </c>
      <c r="O58" s="50">
        <f t="shared" si="30"/>
        <v>100716.77906036375</v>
      </c>
      <c r="P58" s="61">
        <v>33572.259686787918</v>
      </c>
      <c r="Q58" s="61">
        <v>33572.259686787918</v>
      </c>
      <c r="R58" s="61">
        <v>33572.259686787918</v>
      </c>
      <c r="S58" s="50">
        <f t="shared" si="31"/>
        <v>100716.77906036375</v>
      </c>
      <c r="T58" s="61">
        <v>33572.259686787918</v>
      </c>
      <c r="U58" s="61">
        <v>33572.259686787918</v>
      </c>
      <c r="V58" s="61">
        <v>33572.259686787918</v>
      </c>
      <c r="W58" s="50">
        <f t="shared" si="32"/>
        <v>100716.77906036375</v>
      </c>
      <c r="X58" s="36"/>
      <c r="Y58" s="42">
        <f t="shared" si="33"/>
        <v>405703.18508911133</v>
      </c>
      <c r="AA58" s="42">
        <f t="shared" si="8"/>
        <v>27933.702763061505</v>
      </c>
      <c r="AB58" s="59">
        <f t="shared" si="9"/>
        <v>7.3943778070861083E-2</v>
      </c>
    </row>
    <row r="59" spans="1:28" ht="13">
      <c r="B59" s="43" t="s">
        <v>32</v>
      </c>
      <c r="C59" s="36"/>
      <c r="D59" s="43">
        <f>SUM(D47:D58)</f>
        <v>2632286.9714862062</v>
      </c>
      <c r="E59" s="34"/>
      <c r="F59" s="34"/>
      <c r="G59" s="34"/>
      <c r="H59" s="43">
        <f>SUM(H47:H58)</f>
        <v>88139.668724060059</v>
      </c>
      <c r="I59" s="43">
        <f>SUM(I47:I58)</f>
        <v>88139.668724060059</v>
      </c>
      <c r="J59" s="43">
        <f>SUM(J47:J58)</f>
        <v>88139.668724060059</v>
      </c>
      <c r="K59" s="43">
        <f t="shared" si="29"/>
        <v>264419.00617218018</v>
      </c>
      <c r="L59" s="43">
        <f>SUM(L47:L58)</f>
        <v>101557.21218109131</v>
      </c>
      <c r="M59" s="43">
        <f>SUM(M47:M58)</f>
        <v>90785.037376403809</v>
      </c>
      <c r="N59" s="43">
        <f>SUM(N47:N58)</f>
        <v>90785.037376403809</v>
      </c>
      <c r="O59" s="43">
        <f t="shared" si="30"/>
        <v>283127.28693389893</v>
      </c>
      <c r="P59" s="43">
        <f>SUM(P47:P58)</f>
        <v>90785.037376403809</v>
      </c>
      <c r="Q59" s="43">
        <f>SUM(Q47:Q58)</f>
        <v>90785.037376403809</v>
      </c>
      <c r="R59" s="43">
        <f>SUM(R47:R58)</f>
        <v>90785.037376403809</v>
      </c>
      <c r="S59" s="43">
        <f t="shared" si="31"/>
        <v>272355.11212921143</v>
      </c>
      <c r="T59" s="43">
        <f>SUM(T47:T58)</f>
        <v>90785.037376403809</v>
      </c>
      <c r="U59" s="43">
        <f>SUM(U47:U58)</f>
        <v>90785.037376403809</v>
      </c>
      <c r="V59" s="43">
        <f>SUM(V47:V58)</f>
        <v>90785.037376403809</v>
      </c>
      <c r="W59" s="43">
        <f t="shared" si="32"/>
        <v>272355.11212921143</v>
      </c>
      <c r="X59" s="36"/>
      <c r="Y59" s="35">
        <f t="shared" si="33"/>
        <v>1092256.517364502</v>
      </c>
      <c r="AA59" s="35">
        <f t="shared" si="8"/>
        <v>-1540030.4541217042</v>
      </c>
      <c r="AB59" s="56">
        <f t="shared" si="9"/>
        <v>-0.58505416423202261</v>
      </c>
    </row>
    <row r="60" spans="1:28" ht="13">
      <c r="B60" s="34"/>
      <c r="C60" s="36"/>
      <c r="D60" s="34"/>
      <c r="E60" s="34"/>
      <c r="F60" s="34"/>
      <c r="G60" s="34"/>
      <c r="H60" s="34"/>
      <c r="I60" s="34"/>
      <c r="J60" s="34"/>
      <c r="K60" s="34"/>
      <c r="L60" s="34"/>
      <c r="M60" s="34"/>
      <c r="N60" s="34"/>
      <c r="O60" s="34"/>
      <c r="P60" s="34"/>
      <c r="Q60" s="34"/>
      <c r="R60" s="34"/>
      <c r="S60" s="34"/>
      <c r="T60" s="34"/>
      <c r="U60" s="34"/>
      <c r="V60" s="34"/>
      <c r="W60" s="34"/>
      <c r="X60" s="36"/>
      <c r="AB60" s="59"/>
    </row>
    <row r="61" spans="1:28" ht="13">
      <c r="B61" s="43" t="s">
        <v>103</v>
      </c>
      <c r="C61" s="36"/>
      <c r="D61" s="43">
        <f>D59+D44+D35+D27</f>
        <v>10567872.981183926</v>
      </c>
      <c r="E61" s="34"/>
      <c r="F61" s="34"/>
      <c r="G61" s="34"/>
      <c r="H61" s="43">
        <f t="shared" ref="H61:W61" si="36">H59+H44+H35+H27</f>
        <v>534799.40813723579</v>
      </c>
      <c r="I61" s="43">
        <f t="shared" si="36"/>
        <v>621409.22660018969</v>
      </c>
      <c r="J61" s="43">
        <f t="shared" si="36"/>
        <v>646346.85104137892</v>
      </c>
      <c r="K61" s="43">
        <f t="shared" si="36"/>
        <v>1802555.4857788042</v>
      </c>
      <c r="L61" s="43">
        <f t="shared" si="36"/>
        <v>648389.16464740317</v>
      </c>
      <c r="M61" s="43">
        <f t="shared" si="36"/>
        <v>635544.29948016687</v>
      </c>
      <c r="N61" s="43">
        <f t="shared" si="36"/>
        <v>635544.29948016687</v>
      </c>
      <c r="O61" s="43">
        <f t="shared" si="36"/>
        <v>1919477.7636077367</v>
      </c>
      <c r="P61" s="43">
        <f t="shared" si="36"/>
        <v>635544.29948016687</v>
      </c>
      <c r="Q61" s="43">
        <f t="shared" si="36"/>
        <v>635544.29948016687</v>
      </c>
      <c r="R61" s="43">
        <f t="shared" si="36"/>
        <v>635544.29948016687</v>
      </c>
      <c r="S61" s="43">
        <f t="shared" si="36"/>
        <v>1906632.8984405003</v>
      </c>
      <c r="T61" s="43">
        <f t="shared" si="36"/>
        <v>635544.29948016687</v>
      </c>
      <c r="U61" s="43">
        <f t="shared" si="36"/>
        <v>641762.37056781328</v>
      </c>
      <c r="V61" s="43">
        <f t="shared" si="36"/>
        <v>699289.18386448035</v>
      </c>
      <c r="W61" s="51">
        <f t="shared" si="36"/>
        <v>1976595.8539124604</v>
      </c>
      <c r="X61" s="36"/>
      <c r="Y61" s="57">
        <f>SUM(K61,O61,S61,W61)</f>
        <v>7605262.001739501</v>
      </c>
      <c r="AA61" s="57">
        <f t="shared" si="8"/>
        <v>-2962610.9794444246</v>
      </c>
      <c r="AB61" s="59">
        <f t="shared" si="9"/>
        <v>-0.28034127441911411</v>
      </c>
    </row>
    <row r="62" spans="1:28" ht="12.75" customHeight="1">
      <c r="A62" s="34" t="s">
        <v>126</v>
      </c>
      <c r="B62" s="43"/>
      <c r="C62" s="36"/>
      <c r="D62" s="43">
        <f>D16-D61</f>
        <v>-2323408.3436170314</v>
      </c>
      <c r="E62" s="34"/>
      <c r="F62" s="34"/>
      <c r="G62" s="34"/>
      <c r="H62" s="43">
        <f t="shared" ref="H62:W62" si="37">H16-H61</f>
        <v>-244656.11297122022</v>
      </c>
      <c r="I62" s="43">
        <f t="shared" si="37"/>
        <v>-352282.54267235257</v>
      </c>
      <c r="J62" s="43">
        <f t="shared" si="37"/>
        <v>-340880.17575840431</v>
      </c>
      <c r="K62" s="43">
        <f t="shared" si="37"/>
        <v>-937818.83140197687</v>
      </c>
      <c r="L62" s="43">
        <f t="shared" si="37"/>
        <v>-369489.67954997544</v>
      </c>
      <c r="M62" s="43">
        <f t="shared" si="37"/>
        <v>198131.82375646546</v>
      </c>
      <c r="N62" s="43">
        <f t="shared" si="37"/>
        <v>-220725.9443216222</v>
      </c>
      <c r="O62" s="43">
        <f t="shared" si="37"/>
        <v>-392083.80011513201</v>
      </c>
      <c r="P62" s="43">
        <f t="shared" si="37"/>
        <v>-217950.65484793799</v>
      </c>
      <c r="Q62" s="43">
        <f t="shared" si="37"/>
        <v>-217950.65484793799</v>
      </c>
      <c r="R62" s="43">
        <f t="shared" si="37"/>
        <v>-220725.9443216222</v>
      </c>
      <c r="S62" s="43">
        <f t="shared" si="37"/>
        <v>-656627.25401749788</v>
      </c>
      <c r="T62" s="43">
        <f t="shared" si="37"/>
        <v>-217950.65484793799</v>
      </c>
      <c r="U62" s="43">
        <f t="shared" si="37"/>
        <v>-224168.7259355844</v>
      </c>
      <c r="V62" s="43">
        <f t="shared" si="37"/>
        <v>-291468.34040184214</v>
      </c>
      <c r="W62" s="43">
        <f t="shared" si="37"/>
        <v>-733587.72118536453</v>
      </c>
      <c r="X62" s="36"/>
      <c r="Y62" s="35">
        <f t="shared" ref="Y62" si="38">SUM(K62,O62,S62,W62)</f>
        <v>-2720117.6067199716</v>
      </c>
      <c r="AA62" s="35">
        <f t="shared" si="8"/>
        <v>-396709.26310294028</v>
      </c>
      <c r="AB62" s="56">
        <f t="shared" si="9"/>
        <v>0.17074452891279196</v>
      </c>
    </row>
    <row r="63" spans="1:28" ht="12.75" customHeight="1">
      <c r="A63" s="34"/>
      <c r="B63" s="34"/>
      <c r="C63" s="36"/>
      <c r="D63" s="52"/>
      <c r="E63" s="34"/>
      <c r="F63" s="34"/>
      <c r="G63" s="34"/>
      <c r="H63" s="52"/>
      <c r="I63" s="52"/>
      <c r="J63" s="52"/>
      <c r="K63" s="34"/>
      <c r="L63" s="52"/>
      <c r="M63" s="52"/>
      <c r="N63" s="52"/>
      <c r="O63" s="34"/>
      <c r="P63" s="52"/>
      <c r="Q63" s="52"/>
      <c r="R63" s="52"/>
      <c r="S63" s="34"/>
      <c r="T63" s="52"/>
      <c r="U63" s="52"/>
      <c r="V63" s="52"/>
      <c r="W63" s="34"/>
      <c r="X63" s="36"/>
      <c r="AB63" s="59"/>
    </row>
    <row r="64" spans="1:28" ht="13">
      <c r="A64" s="34" t="s">
        <v>125</v>
      </c>
      <c r="B64" s="43"/>
      <c r="C64" s="36"/>
      <c r="D64" s="53">
        <f>D62</f>
        <v>-2323408.3436170314</v>
      </c>
      <c r="E64" s="54"/>
      <c r="F64" s="54"/>
      <c r="G64" s="54"/>
      <c r="H64" s="53">
        <f>H62</f>
        <v>-244656.11297122022</v>
      </c>
      <c r="I64" s="53">
        <f t="shared" ref="I64:W64" si="39">I62</f>
        <v>-352282.54267235257</v>
      </c>
      <c r="J64" s="53">
        <f t="shared" si="39"/>
        <v>-340880.17575840431</v>
      </c>
      <c r="K64" s="53">
        <f t="shared" si="39"/>
        <v>-937818.83140197687</v>
      </c>
      <c r="L64" s="53">
        <f t="shared" si="39"/>
        <v>-369489.67954997544</v>
      </c>
      <c r="M64" s="53">
        <f t="shared" si="39"/>
        <v>198131.82375646546</v>
      </c>
      <c r="N64" s="53">
        <f t="shared" si="39"/>
        <v>-220725.9443216222</v>
      </c>
      <c r="O64" s="53">
        <f t="shared" si="39"/>
        <v>-392083.80011513201</v>
      </c>
      <c r="P64" s="53">
        <f t="shared" si="39"/>
        <v>-217950.65484793799</v>
      </c>
      <c r="Q64" s="53">
        <f t="shared" si="39"/>
        <v>-217950.65484793799</v>
      </c>
      <c r="R64" s="53">
        <f t="shared" si="39"/>
        <v>-220725.9443216222</v>
      </c>
      <c r="S64" s="53">
        <f t="shared" si="39"/>
        <v>-656627.25401749788</v>
      </c>
      <c r="T64" s="53">
        <f t="shared" si="39"/>
        <v>-217950.65484793799</v>
      </c>
      <c r="U64" s="53">
        <f t="shared" si="39"/>
        <v>-224168.7259355844</v>
      </c>
      <c r="V64" s="53">
        <f t="shared" si="39"/>
        <v>-291468.34040184214</v>
      </c>
      <c r="W64" s="53">
        <f t="shared" si="39"/>
        <v>-733587.72118536453</v>
      </c>
      <c r="X64" s="55"/>
      <c r="Y64" s="58">
        <f>SUM(K64,O64,S64,W64)</f>
        <v>-2720117.6067199716</v>
      </c>
      <c r="AA64" s="58">
        <f t="shared" si="8"/>
        <v>-396709.26310294028</v>
      </c>
      <c r="AB64" s="56">
        <f t="shared" si="9"/>
        <v>0.17074452891279196</v>
      </c>
    </row>
  </sheetData>
  <sheetProtection algorithmName="SHA-512" hashValue="DJ9wQ6RUeSYJFU6UlcGjWZ+lH6gnxIAV+qy61EvBnPS37Tzu+JiEALzmtsn3VPOf1voy3o0oaomx+QFOaLz/mQ==" saltValue="0c/pbraU4rcNeIjFiLPJaQ==" spinCount="100000" sheet="1" objects="1" scenarios="1"/>
  <mergeCells count="1">
    <mergeCell ref="AA4:AB4"/>
  </mergeCells>
  <conditionalFormatting sqref="D5">
    <cfRule type="containsText" dxfId="3" priority="1" operator="containsText" text="Projected">
      <formula>NOT(ISERROR(SEARCH("Projected",D5)))</formula>
    </cfRule>
  </conditionalFormatting>
  <dataValidations count="2">
    <dataValidation type="decimal" allowBlank="1" showInputMessage="1" showErrorMessage="1" sqref="D7:D15 H7:J15 L7:N15 P7:R15 T7:V15 D20:D26 F20:F26 H20:J26 L20:N26 P20:R26 T20:V26 D30:D34 H30:J34 L30:N34 P30:R34 T30:V34 D38:D43 H38:J43 L38:N43 P38:R43 T38:V43 D47:D58 H47:J58 L47:N58 P47:R58 T47:V58" xr:uid="{72695B28-6771-9C43-B750-CD21041E4179}">
      <formula1>-1000000000</formula1>
      <formula2>1000000000</formula2>
    </dataValidation>
    <dataValidation type="list" allowBlank="1" showInputMessage="1" showErrorMessage="1" sqref="D5" xr:uid="{3E4B9539-98D1-A147-BFB2-0E1C6059642C}">
      <formula1>"Budget,Projected"</formula1>
    </dataValidation>
  </dataValidations>
  <pageMargins left="0.75" right="0.35" top="0.5" bottom="0.5" header="0.5" footer="0.5"/>
  <pageSetup scale="33" orientation="portrait" horizontalDpi="300" verticalDpi="300"/>
  <headerFooter alignWithMargins="0">
    <oddHeader xml:space="preserve">&amp;C&amp;"Arial,Bold"&amp;11
</oddHeader>
    <oddFooter>&amp;RPage &amp;P of &amp;N</oddFooter>
  </headerFooter>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4D78E-0995-414E-A729-4CDFC8F181B9}">
  <sheetPr>
    <tabColor rgb="FFFFC000"/>
  </sheetPr>
  <dimension ref="A1:R76"/>
  <sheetViews>
    <sheetView workbookViewId="0">
      <pane ySplit="5" topLeftCell="A6" activePane="bottomLeft" state="frozen"/>
      <selection pane="bottomLeft" activeCell="B1" sqref="B1"/>
    </sheetView>
  </sheetViews>
  <sheetFormatPr baseColWidth="10" defaultRowHeight="15"/>
  <cols>
    <col min="1" max="1" width="2.83203125" style="66" customWidth="1"/>
    <col min="2" max="2" width="43.6640625" style="66" bestFit="1" customWidth="1"/>
    <col min="3" max="3" width="13.5" style="66" bestFit="1" customWidth="1"/>
    <col min="4" max="4" width="14.5" style="66" bestFit="1" customWidth="1"/>
    <col min="5" max="5" width="6.5" style="69" bestFit="1" customWidth="1"/>
    <col min="6" max="6" width="8.6640625" style="69" bestFit="1" customWidth="1"/>
    <col min="7" max="8" width="10.6640625" style="66" bestFit="1" customWidth="1"/>
    <col min="9" max="9" width="11.5" style="66" bestFit="1" customWidth="1"/>
    <col min="10" max="11" width="11.1640625" style="66" bestFit="1" customWidth="1"/>
    <col min="12" max="12" width="10.83203125" style="66"/>
    <col min="13" max="13" width="14.5" style="66" bestFit="1" customWidth="1"/>
    <col min="14" max="14" width="6.5" style="66" bestFit="1" customWidth="1"/>
    <col min="15" max="15" width="8.6640625" style="66" bestFit="1" customWidth="1"/>
    <col min="16" max="16" width="10.83203125" style="66"/>
    <col min="17" max="17" width="35.33203125" style="66" bestFit="1" customWidth="1"/>
    <col min="18" max="18" width="13.6640625" style="66" bestFit="1" customWidth="1"/>
    <col min="19" max="16384" width="10.83203125" style="66"/>
  </cols>
  <sheetData>
    <row r="1" spans="1:18">
      <c r="A1" s="34" t="str">
        <f>'3 FY22 Annual Budget'!A1</f>
        <v>Achievement Preparatory Academy PCS</v>
      </c>
      <c r="B1" s="34"/>
      <c r="E1" s="66"/>
      <c r="F1" s="66"/>
      <c r="H1" s="67" t="s">
        <v>220</v>
      </c>
      <c r="I1" s="67">
        <f>'2 Enrollments'!C23</f>
        <v>150</v>
      </c>
      <c r="J1" s="67">
        <f>-G62/I62</f>
        <v>327.42104354987998</v>
      </c>
      <c r="K1" s="68">
        <v>198</v>
      </c>
    </row>
    <row r="2" spans="1:18">
      <c r="A2" s="35" t="str">
        <f>'3 FY22 Annual Budget'!A2</f>
        <v>FY22 Annual Budget</v>
      </c>
      <c r="B2" s="35"/>
    </row>
    <row r="3" spans="1:18" s="71" customFormat="1">
      <c r="A3" s="70"/>
      <c r="B3" s="38"/>
      <c r="C3" s="95" t="s">
        <v>221</v>
      </c>
      <c r="D3" s="96"/>
      <c r="E3" s="96"/>
      <c r="F3" s="96"/>
      <c r="G3" s="96"/>
      <c r="H3" s="96"/>
      <c r="I3" s="97"/>
      <c r="J3" s="71" t="s">
        <v>111</v>
      </c>
      <c r="K3" s="71" t="s">
        <v>111</v>
      </c>
      <c r="L3" s="71" t="s">
        <v>111</v>
      </c>
    </row>
    <row r="4" spans="1:18" s="71" customFormat="1">
      <c r="A4" s="38"/>
      <c r="B4" s="38"/>
      <c r="C4" s="71" t="s">
        <v>111</v>
      </c>
      <c r="D4" s="71" t="s">
        <v>222</v>
      </c>
      <c r="E4" s="72" t="s">
        <v>223</v>
      </c>
      <c r="F4" s="72" t="s">
        <v>224</v>
      </c>
      <c r="G4" s="71" t="s">
        <v>223</v>
      </c>
      <c r="H4" s="71" t="s">
        <v>224</v>
      </c>
      <c r="I4" s="71" t="s">
        <v>225</v>
      </c>
      <c r="J4" s="71" t="s">
        <v>226</v>
      </c>
      <c r="K4" s="71" t="s">
        <v>226</v>
      </c>
      <c r="L4" s="71" t="s">
        <v>226</v>
      </c>
      <c r="M4" s="71" t="s">
        <v>222</v>
      </c>
      <c r="N4" s="72" t="s">
        <v>223</v>
      </c>
      <c r="O4" s="72" t="s">
        <v>224</v>
      </c>
    </row>
    <row r="5" spans="1:18" s="71" customFormat="1" ht="16" thickBot="1">
      <c r="A5" s="38"/>
      <c r="B5" s="38"/>
      <c r="C5" s="73" t="s">
        <v>77</v>
      </c>
      <c r="D5" s="73" t="s">
        <v>227</v>
      </c>
      <c r="E5" s="74" t="s">
        <v>130</v>
      </c>
      <c r="F5" s="74" t="s">
        <v>130</v>
      </c>
      <c r="G5" s="73" t="s">
        <v>228</v>
      </c>
      <c r="H5" s="73" t="s">
        <v>228</v>
      </c>
      <c r="I5" s="73" t="s">
        <v>229</v>
      </c>
      <c r="J5" s="73" t="s">
        <v>230</v>
      </c>
      <c r="K5" s="73" t="s">
        <v>231</v>
      </c>
      <c r="L5" s="73" t="s">
        <v>253</v>
      </c>
      <c r="M5" s="73" t="s">
        <v>227</v>
      </c>
      <c r="N5" s="74" t="s">
        <v>130</v>
      </c>
      <c r="O5" s="74" t="s">
        <v>130</v>
      </c>
      <c r="Q5" s="98" t="s">
        <v>232</v>
      </c>
      <c r="R5" s="98"/>
    </row>
    <row r="6" spans="1:18">
      <c r="A6" s="34" t="str">
        <f>'3 FY22 Annual Budget'!A6</f>
        <v>REVENUE</v>
      </c>
      <c r="B6" s="35"/>
      <c r="M6" s="66" t="s">
        <v>224</v>
      </c>
      <c r="N6" s="69">
        <v>0</v>
      </c>
      <c r="O6" s="69">
        <f>100%-N6</f>
        <v>1</v>
      </c>
      <c r="Q6" s="66" t="s">
        <v>233</v>
      </c>
      <c r="R6" s="75">
        <v>7968273.696644295</v>
      </c>
    </row>
    <row r="7" spans="1:18">
      <c r="A7" s="35"/>
      <c r="B7" s="35" t="str">
        <f>'3 FY22 Annual Budget'!B7</f>
        <v>Per Pupil Charter Payments - General Education</v>
      </c>
      <c r="C7" s="66">
        <f>'3 FY22 Annual Budget'!Y7</f>
        <v>1905210.2187499995</v>
      </c>
      <c r="D7" s="66" t="s">
        <v>224</v>
      </c>
      <c r="E7" s="69">
        <f>VLOOKUP($D7,$M$6:$O$11,2,FALSE)</f>
        <v>0</v>
      </c>
      <c r="F7" s="69">
        <f>VLOOKUP($D7,$M$6:$O$11,3,FALSE)</f>
        <v>1</v>
      </c>
      <c r="G7" s="66">
        <f>C7*E7</f>
        <v>0</v>
      </c>
      <c r="H7" s="66">
        <f>C7-G7</f>
        <v>1905210.2187499995</v>
      </c>
      <c r="I7" s="66">
        <f>H7/I$1</f>
        <v>12701.40145833333</v>
      </c>
      <c r="J7" s="66">
        <f>$I7*J$1+$G7</f>
        <v>4158706.1200334663</v>
      </c>
      <c r="K7" s="66">
        <f>$I7*K$1+$G7</f>
        <v>2514877.4887499996</v>
      </c>
      <c r="M7" s="66" t="s">
        <v>223</v>
      </c>
      <c r="N7" s="69">
        <v>1</v>
      </c>
      <c r="O7" s="69">
        <f t="shared" ref="O7:O10" si="0">100%-N7</f>
        <v>0</v>
      </c>
      <c r="Q7" s="66" t="s">
        <v>234</v>
      </c>
      <c r="R7" s="75">
        <f>R6*0.95</f>
        <v>7569860.0118120797</v>
      </c>
    </row>
    <row r="8" spans="1:18">
      <c r="A8" s="35"/>
      <c r="B8" s="35" t="str">
        <f>'3 FY22 Annual Budget'!B8</f>
        <v>Per Pupil Charter Payments - Categorical Enhancements</v>
      </c>
      <c r="C8" s="66">
        <f>'3 FY22 Annual Budget'!Y8</f>
        <v>763387.42138671875</v>
      </c>
      <c r="D8" s="66" t="s">
        <v>224</v>
      </c>
      <c r="E8" s="69">
        <f t="shared" ref="E8:E15" si="1">VLOOKUP($D8,$M$6:$O$11,2,FALSE)</f>
        <v>0</v>
      </c>
      <c r="F8" s="69">
        <f t="shared" ref="F8:F15" si="2">VLOOKUP($D8,$M$6:$O$11,3,FALSE)</f>
        <v>1</v>
      </c>
      <c r="G8" s="66">
        <f t="shared" ref="G8:G58" si="3">C8*E8</f>
        <v>0</v>
      </c>
      <c r="H8" s="66">
        <f t="shared" ref="H8:H58" si="4">C8-G8</f>
        <v>763387.42138671875</v>
      </c>
      <c r="I8" s="66">
        <f t="shared" ref="I8:I58" si="5">H8/I$1</f>
        <v>5089.2494759114579</v>
      </c>
      <c r="J8" s="66">
        <f t="shared" ref="J8:K15" si="6">$I8*J$1+$G8</f>
        <v>1666327.3742886093</v>
      </c>
      <c r="K8" s="66">
        <f t="shared" si="6"/>
        <v>1007671.3962304686</v>
      </c>
      <c r="M8" s="66" t="s">
        <v>235</v>
      </c>
      <c r="N8" s="69">
        <v>0.7</v>
      </c>
      <c r="O8" s="69">
        <f t="shared" si="0"/>
        <v>0.30000000000000004</v>
      </c>
      <c r="Q8" s="66" t="s">
        <v>236</v>
      </c>
      <c r="R8" s="66">
        <f>SUM(K7:K9)</f>
        <v>4197332.8849804681</v>
      </c>
    </row>
    <row r="9" spans="1:18">
      <c r="A9" s="35"/>
      <c r="B9" s="35" t="str">
        <f>'3 FY22 Annual Budget'!B9</f>
        <v>Per Pupil Facilities Allowance</v>
      </c>
      <c r="C9" s="66">
        <f>'3 FY22 Annual Budget'!Y9</f>
        <v>511200</v>
      </c>
      <c r="D9" s="66" t="s">
        <v>224</v>
      </c>
      <c r="E9" s="69">
        <f t="shared" si="1"/>
        <v>0</v>
      </c>
      <c r="F9" s="69">
        <f t="shared" si="2"/>
        <v>1</v>
      </c>
      <c r="G9" s="66">
        <f t="shared" si="3"/>
        <v>0</v>
      </c>
      <c r="H9" s="66">
        <f t="shared" si="4"/>
        <v>511200</v>
      </c>
      <c r="I9" s="66">
        <f t="shared" si="5"/>
        <v>3408</v>
      </c>
      <c r="J9" s="66">
        <f t="shared" si="6"/>
        <v>1115850.916417991</v>
      </c>
      <c r="K9" s="66">
        <f t="shared" si="6"/>
        <v>674784</v>
      </c>
      <c r="M9" s="66" t="s">
        <v>237</v>
      </c>
      <c r="N9" s="69">
        <v>0.4</v>
      </c>
      <c r="O9" s="69">
        <f t="shared" si="0"/>
        <v>0.6</v>
      </c>
      <c r="Q9" s="66" t="s">
        <v>238</v>
      </c>
      <c r="R9" s="76" t="str">
        <f>IF(R8&gt;R7,"No","Yes")</f>
        <v>Yes</v>
      </c>
    </row>
    <row r="10" spans="1:18">
      <c r="A10" s="35"/>
      <c r="B10" s="35" t="str">
        <f>'3 FY22 Annual Budget'!B10</f>
        <v>Federal Funding</v>
      </c>
      <c r="C10" s="66">
        <f>'3 FY22 Annual Budget'!Y10</f>
        <v>1437050</v>
      </c>
      <c r="D10" s="66" t="s">
        <v>224</v>
      </c>
      <c r="E10" s="69">
        <f t="shared" si="1"/>
        <v>0</v>
      </c>
      <c r="F10" s="69">
        <f t="shared" si="2"/>
        <v>1</v>
      </c>
      <c r="G10" s="77">
        <f>C16-C12-C15-C54/0.009</f>
        <v>61261.148491753265</v>
      </c>
      <c r="H10" s="66">
        <f>C10-G10</f>
        <v>1375788.8515082467</v>
      </c>
      <c r="I10" s="66">
        <f t="shared" si="5"/>
        <v>9171.9256767216448</v>
      </c>
      <c r="J10" s="66">
        <f t="shared" si="6"/>
        <v>3064342.6249258933</v>
      </c>
      <c r="K10" s="66">
        <f t="shared" si="6"/>
        <v>1877302.4324826389</v>
      </c>
      <c r="M10" s="66" t="s">
        <v>239</v>
      </c>
      <c r="N10" s="69">
        <v>0.5</v>
      </c>
      <c r="O10" s="69">
        <f t="shared" si="0"/>
        <v>0.5</v>
      </c>
      <c r="Q10" s="66" t="s">
        <v>240</v>
      </c>
      <c r="R10" s="66">
        <f>R7-R8</f>
        <v>3372527.1268316116</v>
      </c>
    </row>
    <row r="11" spans="1:18">
      <c r="A11" s="35"/>
      <c r="B11" s="35" t="str">
        <f>'3 FY22 Annual Budget'!B11</f>
        <v>Other Government Funding/Grants</v>
      </c>
      <c r="C11" s="66">
        <f>'3 FY22 Annual Budget'!Y11</f>
        <v>232046.7548828125</v>
      </c>
      <c r="D11" s="66" t="s">
        <v>223</v>
      </c>
      <c r="E11" s="69">
        <f t="shared" si="1"/>
        <v>1</v>
      </c>
      <c r="F11" s="69">
        <f t="shared" si="2"/>
        <v>0</v>
      </c>
      <c r="G11" s="66">
        <f t="shared" si="3"/>
        <v>232046.7548828125</v>
      </c>
      <c r="H11" s="66">
        <f t="shared" si="4"/>
        <v>0</v>
      </c>
      <c r="I11" s="66">
        <f t="shared" si="5"/>
        <v>0</v>
      </c>
      <c r="J11" s="66">
        <f t="shared" si="6"/>
        <v>232046.7548828125</v>
      </c>
      <c r="K11" s="66">
        <f t="shared" si="6"/>
        <v>232046.7548828125</v>
      </c>
      <c r="M11" s="66" t="s">
        <v>241</v>
      </c>
      <c r="Q11" s="66" t="s">
        <v>251</v>
      </c>
      <c r="R11" s="87">
        <f>'[2]LEA Summary with HH'!$R$3</f>
        <v>0.62859441966057594</v>
      </c>
    </row>
    <row r="12" spans="1:18">
      <c r="A12" s="35"/>
      <c r="B12" s="35" t="str">
        <f>'3 FY22 Annual Budget'!B12</f>
        <v>Private Grants and Donations</v>
      </c>
      <c r="C12" s="66">
        <f>'3 FY22 Annual Budget'!Y12</f>
        <v>10000</v>
      </c>
      <c r="D12" s="66" t="s">
        <v>223</v>
      </c>
      <c r="E12" s="69">
        <f t="shared" si="1"/>
        <v>1</v>
      </c>
      <c r="F12" s="69">
        <f t="shared" si="2"/>
        <v>0</v>
      </c>
      <c r="G12" s="66">
        <f t="shared" si="3"/>
        <v>10000</v>
      </c>
      <c r="H12" s="66">
        <f t="shared" si="4"/>
        <v>0</v>
      </c>
      <c r="I12" s="66">
        <f t="shared" si="5"/>
        <v>0</v>
      </c>
      <c r="J12" s="66">
        <f t="shared" si="6"/>
        <v>10000</v>
      </c>
      <c r="K12" s="66">
        <f t="shared" si="6"/>
        <v>10000</v>
      </c>
      <c r="Q12" s="66" t="s">
        <v>252</v>
      </c>
      <c r="R12" s="66">
        <f>R10*R11</f>
        <v>2119951.7320802663</v>
      </c>
    </row>
    <row r="13" spans="1:18">
      <c r="A13" s="35"/>
      <c r="B13" s="35" t="str">
        <f>'3 FY22 Annual Budget'!B13</f>
        <v>Activity Fees</v>
      </c>
      <c r="C13" s="66">
        <f>'3 FY22 Annual Budget'!Y13</f>
        <v>0</v>
      </c>
      <c r="D13" s="66" t="s">
        <v>224</v>
      </c>
      <c r="E13" s="69">
        <f t="shared" si="1"/>
        <v>0</v>
      </c>
      <c r="F13" s="69">
        <f t="shared" si="2"/>
        <v>1</v>
      </c>
      <c r="G13" s="66">
        <f t="shared" si="3"/>
        <v>0</v>
      </c>
      <c r="H13" s="66">
        <f t="shared" si="4"/>
        <v>0</v>
      </c>
      <c r="I13" s="66">
        <f t="shared" si="5"/>
        <v>0</v>
      </c>
      <c r="J13" s="66">
        <f t="shared" si="6"/>
        <v>0</v>
      </c>
      <c r="K13" s="66">
        <f t="shared" si="6"/>
        <v>0</v>
      </c>
    </row>
    <row r="14" spans="1:18">
      <c r="A14" s="35"/>
      <c r="B14" s="35" t="str">
        <f>'3 FY22 Annual Budget'!B14</f>
        <v>In-kind revenue</v>
      </c>
      <c r="C14" s="66">
        <f>'3 FY22 Annual Budget'!Y14</f>
        <v>0</v>
      </c>
      <c r="D14" s="66" t="s">
        <v>224</v>
      </c>
      <c r="E14" s="69">
        <f t="shared" si="1"/>
        <v>0</v>
      </c>
      <c r="F14" s="69">
        <f t="shared" si="2"/>
        <v>1</v>
      </c>
      <c r="G14" s="66">
        <f t="shared" si="3"/>
        <v>0</v>
      </c>
      <c r="H14" s="66">
        <f t="shared" si="4"/>
        <v>0</v>
      </c>
      <c r="I14" s="66">
        <f t="shared" si="5"/>
        <v>0</v>
      </c>
      <c r="J14" s="66">
        <f t="shared" si="6"/>
        <v>0</v>
      </c>
      <c r="K14" s="66">
        <f t="shared" si="6"/>
        <v>0</v>
      </c>
      <c r="R14" s="87"/>
    </row>
    <row r="15" spans="1:18">
      <c r="A15" s="35"/>
      <c r="B15" s="35" t="str">
        <f>'3 FY22 Annual Budget'!B15</f>
        <v>Other Income</v>
      </c>
      <c r="C15" s="66">
        <f>'3 FY22 Annual Budget'!Y15</f>
        <v>26250</v>
      </c>
      <c r="D15" s="66" t="s">
        <v>223</v>
      </c>
      <c r="E15" s="69">
        <f t="shared" si="1"/>
        <v>1</v>
      </c>
      <c r="F15" s="69">
        <f t="shared" si="2"/>
        <v>0</v>
      </c>
      <c r="G15" s="66">
        <f t="shared" si="3"/>
        <v>26250</v>
      </c>
      <c r="H15" s="66">
        <f t="shared" si="4"/>
        <v>0</v>
      </c>
      <c r="I15" s="66">
        <f t="shared" si="5"/>
        <v>0</v>
      </c>
      <c r="J15" s="66">
        <f t="shared" si="6"/>
        <v>26250</v>
      </c>
      <c r="K15" s="66">
        <f t="shared" si="6"/>
        <v>26250</v>
      </c>
    </row>
    <row r="16" spans="1:18">
      <c r="A16" s="35"/>
      <c r="B16" s="43" t="str">
        <f>'3 FY22 Annual Budget'!B16</f>
        <v>TOTAL REVENUES</v>
      </c>
      <c r="C16" s="78">
        <f>SUM(C7:C15)</f>
        <v>4885144.3950195312</v>
      </c>
      <c r="G16" s="78">
        <f t="shared" ref="G16:K16" si="7">SUM(G7:G15)</f>
        <v>329557.90337456577</v>
      </c>
      <c r="H16" s="78">
        <f t="shared" si="7"/>
        <v>4555586.4916449655</v>
      </c>
      <c r="I16" s="78">
        <f t="shared" si="7"/>
        <v>30370.576610966433</v>
      </c>
      <c r="J16" s="78">
        <f>SUM(J7:J15)</f>
        <v>10273523.790548772</v>
      </c>
      <c r="K16" s="78">
        <f t="shared" si="7"/>
        <v>6342932.0723459199</v>
      </c>
    </row>
    <row r="17" spans="1:11">
      <c r="A17" s="35"/>
      <c r="B17" s="34"/>
    </row>
    <row r="18" spans="1:11">
      <c r="A18" s="34" t="str">
        <f>'3 FY22 Annual Budget'!A18</f>
        <v>FUNCTIONAL EXPENSES</v>
      </c>
      <c r="B18" s="35"/>
    </row>
    <row r="19" spans="1:11">
      <c r="A19" s="48" t="str">
        <f>'3 FY22 Annual Budget'!A19</f>
        <v>Personnel Salaries and Benefits</v>
      </c>
      <c r="B19" s="35"/>
    </row>
    <row r="20" spans="1:11">
      <c r="A20" s="35"/>
      <c r="B20" s="35" t="str">
        <f>'3 FY22 Annual Budget'!B20</f>
        <v>Principal/Executive Salary</v>
      </c>
      <c r="C20" s="66">
        <f>'3 FY22 Annual Budget'!Y20</f>
        <v>303000</v>
      </c>
      <c r="D20" s="66" t="s">
        <v>223</v>
      </c>
      <c r="E20" s="69">
        <f t="shared" ref="E20:E26" si="8">VLOOKUP($D20,$M$6:$O$11,2,FALSE)</f>
        <v>1</v>
      </c>
      <c r="F20" s="69">
        <f t="shared" ref="F20:F26" si="9">VLOOKUP($D20,$M$6:$O$11,3,FALSE)</f>
        <v>0</v>
      </c>
      <c r="G20" s="66">
        <f t="shared" si="3"/>
        <v>303000</v>
      </c>
      <c r="H20" s="66">
        <f t="shared" si="4"/>
        <v>0</v>
      </c>
      <c r="I20" s="66">
        <f t="shared" si="5"/>
        <v>0</v>
      </c>
      <c r="J20" s="66">
        <f t="shared" ref="J20:K26" si="10">$I20*J$1+$G20</f>
        <v>303000</v>
      </c>
      <c r="K20" s="66">
        <f t="shared" si="10"/>
        <v>303000</v>
      </c>
    </row>
    <row r="21" spans="1:11">
      <c r="A21" s="35"/>
      <c r="B21" s="35" t="str">
        <f>'3 FY22 Annual Budget'!B21</f>
        <v>Teachers Salaries</v>
      </c>
      <c r="C21" s="66">
        <f>'3 FY22 Annual Budget'!Y21</f>
        <v>706904.31249999988</v>
      </c>
      <c r="D21" s="66" t="s">
        <v>235</v>
      </c>
      <c r="E21" s="69">
        <f t="shared" si="8"/>
        <v>0.7</v>
      </c>
      <c r="F21" s="69">
        <f t="shared" si="9"/>
        <v>0.30000000000000004</v>
      </c>
      <c r="G21" s="66">
        <f t="shared" si="3"/>
        <v>494833.01874999987</v>
      </c>
      <c r="H21" s="66">
        <f t="shared" si="4"/>
        <v>212071.29375000001</v>
      </c>
      <c r="I21" s="66">
        <f t="shared" si="5"/>
        <v>1413.8086250000001</v>
      </c>
      <c r="J21" s="66">
        <f t="shared" si="10"/>
        <v>957743.7141273208</v>
      </c>
      <c r="K21" s="66">
        <f t="shared" si="10"/>
        <v>774767.1264999999</v>
      </c>
    </row>
    <row r="22" spans="1:11">
      <c r="A22" s="35"/>
      <c r="B22" s="35" t="str">
        <f>'3 FY22 Annual Budget'!B22</f>
        <v>Special Education Salaries</v>
      </c>
      <c r="C22" s="66">
        <f>'3 FY22 Annual Budget'!Y22</f>
        <v>239414.296875</v>
      </c>
      <c r="D22" s="66" t="s">
        <v>235</v>
      </c>
      <c r="E22" s="69">
        <f t="shared" si="8"/>
        <v>0.7</v>
      </c>
      <c r="F22" s="69">
        <f t="shared" si="9"/>
        <v>0.30000000000000004</v>
      </c>
      <c r="G22" s="66">
        <f t="shared" si="3"/>
        <v>167590.0078125</v>
      </c>
      <c r="H22" s="66">
        <f t="shared" si="4"/>
        <v>71824.2890625</v>
      </c>
      <c r="I22" s="66">
        <f t="shared" si="5"/>
        <v>478.82859374999998</v>
      </c>
      <c r="J22" s="66">
        <f t="shared" si="10"/>
        <v>324368.56565964653</v>
      </c>
      <c r="K22" s="66">
        <f t="shared" si="10"/>
        <v>262398.06937499996</v>
      </c>
    </row>
    <row r="23" spans="1:11">
      <c r="A23" s="35"/>
      <c r="B23" s="35" t="str">
        <f>'3 FY22 Annual Budget'!B23</f>
        <v>Other Education Professionals Salaries</v>
      </c>
      <c r="C23" s="66">
        <f>'3 FY22 Annual Budget'!Y23</f>
        <v>359294.21875</v>
      </c>
      <c r="D23" s="66" t="s">
        <v>235</v>
      </c>
      <c r="E23" s="69">
        <f t="shared" si="8"/>
        <v>0.7</v>
      </c>
      <c r="F23" s="69">
        <f t="shared" si="9"/>
        <v>0.30000000000000004</v>
      </c>
      <c r="G23" s="66">
        <f t="shared" si="3"/>
        <v>251505.95312499997</v>
      </c>
      <c r="H23" s="66">
        <f t="shared" si="4"/>
        <v>107788.26562500003</v>
      </c>
      <c r="I23" s="66">
        <f t="shared" si="5"/>
        <v>718.58843750000017</v>
      </c>
      <c r="J23" s="66">
        <f t="shared" si="10"/>
        <v>486786.92921412771</v>
      </c>
      <c r="K23" s="66">
        <f t="shared" si="10"/>
        <v>393786.46375</v>
      </c>
    </row>
    <row r="24" spans="1:11">
      <c r="A24" s="35"/>
      <c r="B24" s="35" t="str">
        <f>'3 FY22 Annual Budget'!B24</f>
        <v>Business/Operations Salaries</v>
      </c>
      <c r="C24" s="66">
        <f>'3 FY22 Annual Budget'!Y24</f>
        <v>515708.44335937488</v>
      </c>
      <c r="D24" s="66" t="s">
        <v>235</v>
      </c>
      <c r="E24" s="69">
        <f t="shared" si="8"/>
        <v>0.7</v>
      </c>
      <c r="F24" s="69">
        <f t="shared" si="9"/>
        <v>0.30000000000000004</v>
      </c>
      <c r="G24" s="66">
        <f t="shared" si="3"/>
        <v>360995.91035156237</v>
      </c>
      <c r="H24" s="66">
        <f t="shared" si="4"/>
        <v>154712.53300781251</v>
      </c>
      <c r="I24" s="66">
        <f t="shared" si="5"/>
        <v>1031.41688671875</v>
      </c>
      <c r="J24" s="66">
        <f t="shared" si="10"/>
        <v>698703.50373598386</v>
      </c>
      <c r="K24" s="66">
        <f t="shared" si="10"/>
        <v>565216.45392187487</v>
      </c>
    </row>
    <row r="25" spans="1:11">
      <c r="A25" s="35"/>
      <c r="B25" s="35" t="str">
        <f>'3 FY22 Annual Budget'!B25</f>
        <v>Administrative/Other Staff Salaries</v>
      </c>
      <c r="C25" s="66">
        <f>'3 FY22 Annual Budget'!Y25</f>
        <v>289681</v>
      </c>
      <c r="D25" s="66" t="s">
        <v>223</v>
      </c>
      <c r="E25" s="69">
        <f t="shared" si="8"/>
        <v>1</v>
      </c>
      <c r="F25" s="69">
        <f t="shared" si="9"/>
        <v>0</v>
      </c>
      <c r="G25" s="66">
        <f t="shared" si="3"/>
        <v>289681</v>
      </c>
      <c r="H25" s="66">
        <f t="shared" si="4"/>
        <v>0</v>
      </c>
      <c r="I25" s="66">
        <f t="shared" si="5"/>
        <v>0</v>
      </c>
      <c r="J25" s="66">
        <f t="shared" si="10"/>
        <v>289681</v>
      </c>
      <c r="K25" s="66">
        <f t="shared" si="10"/>
        <v>289681</v>
      </c>
    </row>
    <row r="26" spans="1:11">
      <c r="A26" s="35"/>
      <c r="B26" s="35" t="str">
        <f>'3 FY22 Annual Budget'!B26</f>
        <v>Employee Benefits and Payroll Taxes</v>
      </c>
      <c r="C26" s="66">
        <f>'3 FY22 Annual Budget'!Y26</f>
        <v>535034.53527832031</v>
      </c>
      <c r="D26" s="66" t="s">
        <v>235</v>
      </c>
      <c r="E26" s="69">
        <f t="shared" si="8"/>
        <v>0.7</v>
      </c>
      <c r="F26" s="69">
        <f t="shared" si="9"/>
        <v>0.30000000000000004</v>
      </c>
      <c r="G26" s="66">
        <f t="shared" si="3"/>
        <v>374524.17469482421</v>
      </c>
      <c r="H26" s="66">
        <f t="shared" si="4"/>
        <v>160510.36058349611</v>
      </c>
      <c r="I26" s="66">
        <f t="shared" si="5"/>
        <v>1070.0690705566408</v>
      </c>
      <c r="J26" s="66">
        <f t="shared" si="10"/>
        <v>724887.3064469297</v>
      </c>
      <c r="K26" s="66">
        <f t="shared" si="10"/>
        <v>586397.85066503915</v>
      </c>
    </row>
    <row r="27" spans="1:11">
      <c r="A27" s="35"/>
      <c r="B27" s="43" t="str">
        <f>'3 FY22 Annual Budget'!B27</f>
        <v>Subtotal: Personnel Expense</v>
      </c>
      <c r="C27" s="78">
        <f>SUM(C19:C26)</f>
        <v>2949036.8067626953</v>
      </c>
      <c r="G27" s="78">
        <f t="shared" ref="G27:K27" si="11">SUM(G19:G26)</f>
        <v>2242130.0647338862</v>
      </c>
      <c r="H27" s="78">
        <f t="shared" si="11"/>
        <v>706906.74202880869</v>
      </c>
      <c r="I27" s="78">
        <f t="shared" si="11"/>
        <v>4712.7116135253909</v>
      </c>
      <c r="J27" s="78">
        <f>SUM(J19:J26)</f>
        <v>3785171.0191840082</v>
      </c>
      <c r="K27" s="78">
        <f t="shared" si="11"/>
        <v>3175246.9642119138</v>
      </c>
    </row>
    <row r="28" spans="1:11">
      <c r="A28" s="35"/>
      <c r="B28" s="35"/>
    </row>
    <row r="29" spans="1:11">
      <c r="A29" s="48" t="str">
        <f>'3 FY22 Annual Budget'!A29</f>
        <v>Direct Student Expense</v>
      </c>
      <c r="B29" s="35"/>
    </row>
    <row r="30" spans="1:11">
      <c r="A30" s="35"/>
      <c r="B30" s="35" t="str">
        <f>'3 FY22 Annual Budget'!B30</f>
        <v>Educational Supplies and Textbooks</v>
      </c>
      <c r="C30" s="66">
        <f>'3 FY22 Annual Budget'!Y30</f>
        <v>39872.06884765625</v>
      </c>
      <c r="D30" s="66" t="s">
        <v>224</v>
      </c>
      <c r="E30" s="69">
        <f t="shared" ref="E30:E34" si="12">VLOOKUP($D30,$M$6:$O$11,2,FALSE)</f>
        <v>0</v>
      </c>
      <c r="F30" s="69">
        <f t="shared" ref="F30:F34" si="13">VLOOKUP($D30,$M$6:$O$11,3,FALSE)</f>
        <v>1</v>
      </c>
      <c r="G30" s="66">
        <f t="shared" si="3"/>
        <v>0</v>
      </c>
      <c r="H30" s="66">
        <f t="shared" si="4"/>
        <v>39872.06884765625</v>
      </c>
      <c r="I30" s="66">
        <f t="shared" si="5"/>
        <v>265.81379231770831</v>
      </c>
      <c r="J30" s="66">
        <f>$I30*J$1+$G30</f>
        <v>87033.029270615123</v>
      </c>
      <c r="K30" s="66">
        <f t="shared" ref="K30:K34" si="14">$I30*K$1+$G30</f>
        <v>52631.130878906246</v>
      </c>
    </row>
    <row r="31" spans="1:11">
      <c r="A31" s="35"/>
      <c r="B31" s="35" t="str">
        <f>'3 FY22 Annual Budget'!B31</f>
        <v>Student Assessment Materials/Program Evaluation</v>
      </c>
      <c r="C31" s="66">
        <f>'3 FY22 Annual Budget'!Y31</f>
        <v>66306.7734375</v>
      </c>
      <c r="D31" s="66" t="s">
        <v>224</v>
      </c>
      <c r="E31" s="69">
        <f t="shared" si="12"/>
        <v>0</v>
      </c>
      <c r="F31" s="69">
        <f t="shared" si="13"/>
        <v>1</v>
      </c>
      <c r="G31" s="66">
        <f t="shared" si="3"/>
        <v>0</v>
      </c>
      <c r="H31" s="66">
        <f t="shared" si="4"/>
        <v>66306.7734375</v>
      </c>
      <c r="I31" s="66">
        <f t="shared" si="5"/>
        <v>442.04515624999999</v>
      </c>
      <c r="J31" s="66">
        <f>$I31*J$1+$G31</f>
        <v>144734.88635554476</v>
      </c>
      <c r="K31" s="66">
        <f t="shared" si="14"/>
        <v>87524.940937499996</v>
      </c>
    </row>
    <row r="32" spans="1:11">
      <c r="A32" s="35"/>
      <c r="B32" s="35" t="str">
        <f>'3 FY22 Annual Budget'!B32</f>
        <v>Contracted Student Services</v>
      </c>
      <c r="C32" s="66">
        <f>'3 FY22 Annual Budget'!Y32</f>
        <v>205310.484375</v>
      </c>
      <c r="D32" s="66" t="s">
        <v>237</v>
      </c>
      <c r="E32" s="69">
        <f t="shared" si="12"/>
        <v>0.4</v>
      </c>
      <c r="F32" s="69">
        <f t="shared" si="13"/>
        <v>0.6</v>
      </c>
      <c r="G32" s="66">
        <f t="shared" si="3"/>
        <v>82124.193750000006</v>
      </c>
      <c r="H32" s="66">
        <f t="shared" si="4"/>
        <v>123186.29062499999</v>
      </c>
      <c r="I32" s="66">
        <f t="shared" si="5"/>
        <v>821.24193749999995</v>
      </c>
      <c r="J32" s="66">
        <f>$I32*J$1+$G32</f>
        <v>351016.08593317529</v>
      </c>
      <c r="K32" s="66">
        <f t="shared" si="14"/>
        <v>244730.09737499998</v>
      </c>
    </row>
    <row r="33" spans="1:11">
      <c r="A33" s="35"/>
      <c r="B33" s="35" t="str">
        <f>'3 FY22 Annual Budget'!B33</f>
        <v>Food Service</v>
      </c>
      <c r="C33" s="66">
        <f>'3 FY22 Annual Budget'!Y33</f>
        <v>86051.609374999985</v>
      </c>
      <c r="D33" s="66" t="s">
        <v>224</v>
      </c>
      <c r="E33" s="69">
        <f t="shared" si="12"/>
        <v>0</v>
      </c>
      <c r="F33" s="69">
        <f t="shared" si="13"/>
        <v>1</v>
      </c>
      <c r="G33" s="66">
        <f t="shared" si="3"/>
        <v>0</v>
      </c>
      <c r="H33" s="66">
        <f t="shared" si="4"/>
        <v>86051.609374999985</v>
      </c>
      <c r="I33" s="66">
        <f t="shared" si="5"/>
        <v>573.67739583333321</v>
      </c>
      <c r="J33" s="66">
        <f>$I33*J$1+$G33</f>
        <v>187834.05160472752</v>
      </c>
      <c r="K33" s="66">
        <f t="shared" si="14"/>
        <v>113588.12437499997</v>
      </c>
    </row>
    <row r="34" spans="1:11">
      <c r="A34" s="35"/>
      <c r="B34" s="35" t="str">
        <f>'3 FY22 Annual Budget'!B34</f>
        <v>Other Direct Student Expense</v>
      </c>
      <c r="C34" s="66">
        <f>'3 FY22 Annual Budget'!Y34</f>
        <v>16693.379272460938</v>
      </c>
      <c r="D34" s="66" t="s">
        <v>237</v>
      </c>
      <c r="E34" s="69">
        <f t="shared" si="12"/>
        <v>0.4</v>
      </c>
      <c r="F34" s="69">
        <f t="shared" si="13"/>
        <v>0.6</v>
      </c>
      <c r="G34" s="66">
        <f t="shared" si="3"/>
        <v>6677.3517089843754</v>
      </c>
      <c r="H34" s="66">
        <f t="shared" si="4"/>
        <v>10016.027563476562</v>
      </c>
      <c r="I34" s="66">
        <f t="shared" si="5"/>
        <v>66.77351708984375</v>
      </c>
      <c r="J34" s="66">
        <f>$I34*J$1+$G34</f>
        <v>28540.406356036758</v>
      </c>
      <c r="K34" s="66">
        <f t="shared" si="14"/>
        <v>19898.508092773438</v>
      </c>
    </row>
    <row r="35" spans="1:11">
      <c r="A35" s="35"/>
      <c r="B35" s="43" t="str">
        <f>'3 FY22 Annual Budget'!B35</f>
        <v>Subtotal: Direct Student Expense</v>
      </c>
      <c r="C35" s="78">
        <f>SUM(C30:C34)</f>
        <v>414234.31530761719</v>
      </c>
      <c r="G35" s="78">
        <f t="shared" ref="G35:K35" si="15">SUM(G30:G34)</f>
        <v>88801.545458984387</v>
      </c>
      <c r="H35" s="78">
        <f t="shared" si="15"/>
        <v>325432.7698486328</v>
      </c>
      <c r="I35" s="78">
        <f t="shared" si="15"/>
        <v>2169.5517989908849</v>
      </c>
      <c r="J35" s="78">
        <f>SUM(J30:J34)</f>
        <v>799158.45952009945</v>
      </c>
      <c r="K35" s="78">
        <f t="shared" si="15"/>
        <v>518372.80165917962</v>
      </c>
    </row>
    <row r="36" spans="1:11">
      <c r="A36" s="34"/>
      <c r="B36" s="34"/>
    </row>
    <row r="37" spans="1:11">
      <c r="A37" s="48" t="str">
        <f>'3 FY22 Annual Budget'!A37</f>
        <v>Occupancy Expenses</v>
      </c>
      <c r="B37" s="35"/>
    </row>
    <row r="38" spans="1:11">
      <c r="A38" s="35"/>
      <c r="B38" s="35" t="str">
        <f>'3 FY22 Annual Budget'!B38</f>
        <v>Rent</v>
      </c>
      <c r="C38" s="66">
        <f>'3 FY22 Annual Budget'!Y38</f>
        <v>0</v>
      </c>
      <c r="D38" s="79" t="s">
        <v>223</v>
      </c>
      <c r="E38" s="69">
        <f t="shared" ref="E38:E43" si="16">VLOOKUP($D38,$M$6:$O$11,2,FALSE)</f>
        <v>1</v>
      </c>
      <c r="F38" s="69">
        <f t="shared" ref="F38:F43" si="17">VLOOKUP($D38,$M$6:$O$11,3,FALSE)</f>
        <v>0</v>
      </c>
      <c r="G38" s="66">
        <f t="shared" si="3"/>
        <v>0</v>
      </c>
      <c r="H38" s="66">
        <f t="shared" si="4"/>
        <v>0</v>
      </c>
      <c r="I38" s="66">
        <f t="shared" si="5"/>
        <v>0</v>
      </c>
      <c r="J38" s="66">
        <f t="shared" ref="J38:K43" si="18">$I38*J$1+$G38</f>
        <v>0</v>
      </c>
      <c r="K38" s="66">
        <f t="shared" si="18"/>
        <v>0</v>
      </c>
    </row>
    <row r="39" spans="1:11">
      <c r="A39" s="35"/>
      <c r="B39" s="35" t="str">
        <f>'3 FY22 Annual Budget'!B39</f>
        <v>Depreciation (facilities only)</v>
      </c>
      <c r="C39" s="66">
        <f>'3 FY22 Annual Budget'!Y39</f>
        <v>1129055.03125</v>
      </c>
      <c r="D39" s="66" t="s">
        <v>223</v>
      </c>
      <c r="E39" s="69">
        <f t="shared" si="16"/>
        <v>1</v>
      </c>
      <c r="F39" s="69">
        <f t="shared" si="17"/>
        <v>0</v>
      </c>
      <c r="G39" s="66">
        <f t="shared" si="3"/>
        <v>1129055.03125</v>
      </c>
      <c r="H39" s="66">
        <f t="shared" si="4"/>
        <v>0</v>
      </c>
      <c r="I39" s="66">
        <f t="shared" si="5"/>
        <v>0</v>
      </c>
      <c r="J39" s="66">
        <f t="shared" si="18"/>
        <v>1129055.03125</v>
      </c>
      <c r="K39" s="66">
        <f t="shared" si="18"/>
        <v>1129055.03125</v>
      </c>
    </row>
    <row r="40" spans="1:11">
      <c r="A40" s="35"/>
      <c r="B40" s="35" t="str">
        <f>'3 FY22 Annual Budget'!B40</f>
        <v>Interest (facilities only)</v>
      </c>
      <c r="C40" s="66">
        <f>'3 FY22 Annual Budget'!Y40</f>
        <v>1389991.5</v>
      </c>
      <c r="D40" s="66" t="s">
        <v>223</v>
      </c>
      <c r="E40" s="69">
        <f t="shared" si="16"/>
        <v>1</v>
      </c>
      <c r="F40" s="69">
        <f t="shared" si="17"/>
        <v>0</v>
      </c>
      <c r="G40" s="66">
        <f t="shared" si="3"/>
        <v>1389991.5</v>
      </c>
      <c r="H40" s="66">
        <f t="shared" si="4"/>
        <v>0</v>
      </c>
      <c r="I40" s="66">
        <f t="shared" si="5"/>
        <v>0</v>
      </c>
      <c r="J40" s="66">
        <f t="shared" si="18"/>
        <v>1389991.5</v>
      </c>
      <c r="K40" s="66">
        <f t="shared" si="18"/>
        <v>1389991.5</v>
      </c>
    </row>
    <row r="41" spans="1:11">
      <c r="A41" s="35"/>
      <c r="B41" s="35" t="str">
        <f>'3 FY22 Annual Budget'!B41</f>
        <v>Building Maintenance and Repairs</v>
      </c>
      <c r="C41" s="66">
        <f>'3 FY22 Annual Budget'!Y41</f>
        <v>202809.17187499997</v>
      </c>
      <c r="D41" s="66" t="s">
        <v>223</v>
      </c>
      <c r="E41" s="69">
        <f t="shared" si="16"/>
        <v>1</v>
      </c>
      <c r="F41" s="69">
        <f t="shared" si="17"/>
        <v>0</v>
      </c>
      <c r="G41" s="66">
        <f t="shared" si="3"/>
        <v>202809.17187499997</v>
      </c>
      <c r="H41" s="66">
        <f t="shared" si="4"/>
        <v>0</v>
      </c>
      <c r="I41" s="66">
        <f t="shared" si="5"/>
        <v>0</v>
      </c>
      <c r="J41" s="66">
        <f t="shared" si="18"/>
        <v>202809.17187499997</v>
      </c>
      <c r="K41" s="66">
        <f t="shared" si="18"/>
        <v>202809.17187499997</v>
      </c>
    </row>
    <row r="42" spans="1:11">
      <c r="A42" s="35"/>
      <c r="B42" s="35" t="str">
        <f>'3 FY22 Annual Budget'!B42</f>
        <v>Contracted Building Services</v>
      </c>
      <c r="C42" s="66">
        <f>'3 FY22 Annual Budget'!Y42</f>
        <v>237852.7529296875</v>
      </c>
      <c r="D42" s="66" t="s">
        <v>224</v>
      </c>
      <c r="E42" s="69">
        <f t="shared" si="16"/>
        <v>0</v>
      </c>
      <c r="F42" s="69">
        <f t="shared" si="17"/>
        <v>1</v>
      </c>
      <c r="G42" s="66">
        <f t="shared" si="3"/>
        <v>0</v>
      </c>
      <c r="H42" s="66">
        <f t="shared" si="4"/>
        <v>237852.7529296875</v>
      </c>
      <c r="I42" s="66">
        <f t="shared" si="5"/>
        <v>1585.68501953125</v>
      </c>
      <c r="J42" s="66">
        <f t="shared" si="18"/>
        <v>519186.64383633371</v>
      </c>
      <c r="K42" s="66">
        <f t="shared" si="18"/>
        <v>313965.63386718748</v>
      </c>
    </row>
    <row r="43" spans="1:11">
      <c r="A43" s="35"/>
      <c r="B43" s="35" t="str">
        <f>'3 FY22 Annual Budget'!B43</f>
        <v>Other Occupancy Expenses</v>
      </c>
      <c r="C43" s="66">
        <f>'3 FY22 Annual Budget'!Y43</f>
        <v>190025.90625</v>
      </c>
      <c r="D43" s="66" t="s">
        <v>223</v>
      </c>
      <c r="E43" s="69">
        <f t="shared" si="16"/>
        <v>1</v>
      </c>
      <c r="F43" s="69">
        <f t="shared" si="17"/>
        <v>0</v>
      </c>
      <c r="G43" s="66">
        <f t="shared" si="3"/>
        <v>190025.90625</v>
      </c>
      <c r="H43" s="66">
        <f t="shared" si="4"/>
        <v>0</v>
      </c>
      <c r="I43" s="66">
        <f t="shared" si="5"/>
        <v>0</v>
      </c>
      <c r="J43" s="66">
        <f t="shared" si="18"/>
        <v>190025.90625</v>
      </c>
      <c r="K43" s="66">
        <f t="shared" si="18"/>
        <v>190025.90625</v>
      </c>
    </row>
    <row r="44" spans="1:11">
      <c r="A44" s="35"/>
      <c r="B44" s="43" t="str">
        <f>'3 FY22 Annual Budget'!B44</f>
        <v>Subtotal: Occupancy Expenses</v>
      </c>
      <c r="C44" s="78">
        <f>SUM(C38:C43)</f>
        <v>3149734.3623046875</v>
      </c>
      <c r="G44" s="78">
        <f t="shared" ref="G44:K44" si="19">SUM(G38:G43)</f>
        <v>2911881.609375</v>
      </c>
      <c r="H44" s="78">
        <f t="shared" si="19"/>
        <v>237852.7529296875</v>
      </c>
      <c r="I44" s="78">
        <f t="shared" si="19"/>
        <v>1585.68501953125</v>
      </c>
      <c r="J44" s="78">
        <f>SUM(J38:J43)</f>
        <v>3431068.2532113339</v>
      </c>
      <c r="K44" s="78">
        <f t="shared" si="19"/>
        <v>3225847.2432421874</v>
      </c>
    </row>
    <row r="45" spans="1:11">
      <c r="A45" s="35"/>
      <c r="B45" s="34"/>
    </row>
    <row r="46" spans="1:11">
      <c r="A46" s="48" t="str">
        <f>'3 FY22 Annual Budget'!A46</f>
        <v>General and Administrative Expenses</v>
      </c>
      <c r="B46" s="35"/>
    </row>
    <row r="47" spans="1:11">
      <c r="A47" s="35"/>
      <c r="B47" s="35" t="str">
        <f>'3 FY22 Annual Budget'!B47</f>
        <v>Office Supplies and Materials</v>
      </c>
      <c r="C47" s="66">
        <f>'3 FY22 Annual Budget'!Y47</f>
        <v>19982.49609375</v>
      </c>
      <c r="D47" s="66" t="s">
        <v>224</v>
      </c>
      <c r="E47" s="69">
        <f t="shared" ref="E47:E58" si="20">VLOOKUP($D47,$M$6:$O$11,2,FALSE)</f>
        <v>0</v>
      </c>
      <c r="F47" s="69">
        <f t="shared" ref="F47:F58" si="21">VLOOKUP($D47,$M$6:$O$11,3,FALSE)</f>
        <v>1</v>
      </c>
      <c r="G47" s="66">
        <f t="shared" si="3"/>
        <v>0</v>
      </c>
      <c r="H47" s="66">
        <f t="shared" si="4"/>
        <v>19982.49609375</v>
      </c>
      <c r="I47" s="66">
        <f t="shared" si="5"/>
        <v>133.216640625</v>
      </c>
      <c r="J47" s="66">
        <f t="shared" ref="J47:K58" si="22">$I47*J$1+$G47</f>
        <v>43617.931491646836</v>
      </c>
      <c r="K47" s="66">
        <f t="shared" si="22"/>
        <v>26376.89484375</v>
      </c>
    </row>
    <row r="48" spans="1:11">
      <c r="A48" s="35"/>
      <c r="B48" s="35" t="str">
        <f>'3 FY22 Annual Budget'!B48</f>
        <v>Office Equipment Rental and Maintenance</v>
      </c>
      <c r="C48" s="66">
        <f>'3 FY22 Annual Budget'!Y48</f>
        <v>42514.20703125</v>
      </c>
      <c r="D48" s="66" t="s">
        <v>224</v>
      </c>
      <c r="E48" s="69">
        <f t="shared" si="20"/>
        <v>0</v>
      </c>
      <c r="F48" s="69">
        <f t="shared" si="21"/>
        <v>1</v>
      </c>
      <c r="G48" s="66">
        <f t="shared" si="3"/>
        <v>0</v>
      </c>
      <c r="H48" s="66">
        <f t="shared" si="4"/>
        <v>42514.20703125</v>
      </c>
      <c r="I48" s="66">
        <f t="shared" si="5"/>
        <v>283.42804687500001</v>
      </c>
      <c r="J48" s="66">
        <f t="shared" si="22"/>
        <v>92800.306879116804</v>
      </c>
      <c r="K48" s="66">
        <f t="shared" si="22"/>
        <v>56118.753281249999</v>
      </c>
    </row>
    <row r="49" spans="1:11">
      <c r="A49" s="35"/>
      <c r="B49" s="35" t="str">
        <f>'3 FY22 Annual Budget'!B49</f>
        <v>Telephone/Telecommunications</v>
      </c>
      <c r="C49" s="66">
        <f>'3 FY22 Annual Budget'!Y49</f>
        <v>68316.6015625</v>
      </c>
      <c r="D49" s="66" t="s">
        <v>224</v>
      </c>
      <c r="E49" s="69">
        <f t="shared" si="20"/>
        <v>0</v>
      </c>
      <c r="F49" s="69">
        <f t="shared" si="21"/>
        <v>1</v>
      </c>
      <c r="G49" s="66">
        <f t="shared" si="3"/>
        <v>0</v>
      </c>
      <c r="H49" s="66">
        <f t="shared" si="4"/>
        <v>68316.6015625</v>
      </c>
      <c r="I49" s="66">
        <f t="shared" si="5"/>
        <v>455.44401041666669</v>
      </c>
      <c r="J49" s="66">
        <f t="shared" si="22"/>
        <v>149121.95316916742</v>
      </c>
      <c r="K49" s="66">
        <f t="shared" si="22"/>
        <v>90177.9140625</v>
      </c>
    </row>
    <row r="50" spans="1:11">
      <c r="A50" s="35"/>
      <c r="B50" s="35" t="str">
        <f>'3 FY22 Annual Budget'!B50</f>
        <v>Legal, Accounting and Payroll Services</v>
      </c>
      <c r="C50" s="66">
        <f>'3 FY22 Annual Budget'!Y50</f>
        <v>208975.55078125</v>
      </c>
      <c r="D50" s="66" t="s">
        <v>239</v>
      </c>
      <c r="E50" s="69">
        <f t="shared" si="20"/>
        <v>0.5</v>
      </c>
      <c r="F50" s="69">
        <f t="shared" si="21"/>
        <v>0.5</v>
      </c>
      <c r="G50" s="66">
        <f t="shared" si="3"/>
        <v>104487.775390625</v>
      </c>
      <c r="H50" s="66">
        <f t="shared" si="4"/>
        <v>104487.775390625</v>
      </c>
      <c r="I50" s="66">
        <f t="shared" si="5"/>
        <v>696.58516927083338</v>
      </c>
      <c r="J50" s="66">
        <f t="shared" si="22"/>
        <v>332564.41843465104</v>
      </c>
      <c r="K50" s="66">
        <f t="shared" si="22"/>
        <v>242411.63890625001</v>
      </c>
    </row>
    <row r="51" spans="1:11">
      <c r="A51" s="35"/>
      <c r="B51" s="35" t="str">
        <f>'3 FY22 Annual Budget'!B51</f>
        <v>Insurance</v>
      </c>
      <c r="C51" s="66">
        <f>'3 FY22 Annual Budget'!Y51</f>
        <v>75882.0078125</v>
      </c>
      <c r="D51" s="66" t="s">
        <v>224</v>
      </c>
      <c r="E51" s="69">
        <f t="shared" si="20"/>
        <v>0</v>
      </c>
      <c r="F51" s="69">
        <f t="shared" si="21"/>
        <v>1</v>
      </c>
      <c r="G51" s="66">
        <f t="shared" si="3"/>
        <v>0</v>
      </c>
      <c r="H51" s="66">
        <f t="shared" si="4"/>
        <v>75882.0078125</v>
      </c>
      <c r="I51" s="66">
        <f t="shared" si="5"/>
        <v>505.88005208333334</v>
      </c>
      <c r="J51" s="66">
        <f t="shared" si="22"/>
        <v>165635.77456419263</v>
      </c>
      <c r="K51" s="66">
        <f t="shared" si="22"/>
        <v>100164.25031250001</v>
      </c>
    </row>
    <row r="52" spans="1:11">
      <c r="A52" s="35"/>
      <c r="B52" s="35" t="str">
        <f>'3 FY22 Annual Budget'!B52</f>
        <v>Transportation</v>
      </c>
      <c r="C52" s="66">
        <f>'3 FY22 Annual Budget'!Y52</f>
        <v>0</v>
      </c>
      <c r="D52" s="66" t="s">
        <v>224</v>
      </c>
      <c r="E52" s="69">
        <f t="shared" si="20"/>
        <v>0</v>
      </c>
      <c r="F52" s="69">
        <f t="shared" si="21"/>
        <v>1</v>
      </c>
      <c r="G52" s="66">
        <f t="shared" si="3"/>
        <v>0</v>
      </c>
      <c r="H52" s="66">
        <f t="shared" si="4"/>
        <v>0</v>
      </c>
      <c r="I52" s="66">
        <f t="shared" si="5"/>
        <v>0</v>
      </c>
      <c r="J52" s="66">
        <f t="shared" si="22"/>
        <v>0</v>
      </c>
      <c r="K52" s="66">
        <f t="shared" si="22"/>
        <v>0</v>
      </c>
    </row>
    <row r="53" spans="1:11">
      <c r="A53" s="35"/>
      <c r="B53" s="35" t="str">
        <f>'3 FY22 Annual Budget'!B53</f>
        <v>Professional Development</v>
      </c>
      <c r="C53" s="66">
        <f>'3 FY22 Annual Budget'!Y53</f>
        <v>52002.738525390625</v>
      </c>
      <c r="D53" s="66" t="s">
        <v>224</v>
      </c>
      <c r="E53" s="69">
        <f t="shared" si="20"/>
        <v>0</v>
      </c>
      <c r="F53" s="69">
        <f t="shared" si="21"/>
        <v>1</v>
      </c>
      <c r="G53" s="66">
        <f t="shared" si="3"/>
        <v>0</v>
      </c>
      <c r="H53" s="66">
        <f t="shared" si="4"/>
        <v>52002.738525390625</v>
      </c>
      <c r="I53" s="66">
        <f t="shared" si="5"/>
        <v>346.68492350260419</v>
      </c>
      <c r="J53" s="66">
        <f t="shared" si="22"/>
        <v>113511.93943623298</v>
      </c>
      <c r="K53" s="66">
        <f t="shared" si="22"/>
        <v>68643.614853515624</v>
      </c>
    </row>
    <row r="54" spans="1:11">
      <c r="A54" s="35"/>
      <c r="B54" s="35" t="str">
        <f>'3 FY22 Annual Budget'!B54</f>
        <v>PCSB Administrative Fee</v>
      </c>
      <c r="C54" s="66">
        <f>'3 FY22 Annual Budget'!Y54</f>
        <v>43088.69921875</v>
      </c>
      <c r="D54" s="66" t="s">
        <v>241</v>
      </c>
      <c r="E54" s="69">
        <f t="shared" si="20"/>
        <v>0</v>
      </c>
      <c r="F54" s="69">
        <f t="shared" si="21"/>
        <v>0</v>
      </c>
      <c r="G54" s="77">
        <f>(G16-G10-G12-G15)*0.009</f>
        <v>2088.4207939453122</v>
      </c>
      <c r="H54" s="66">
        <f t="shared" si="4"/>
        <v>41000.278424804688</v>
      </c>
      <c r="I54" s="66">
        <f t="shared" si="5"/>
        <v>273.3351894986979</v>
      </c>
      <c r="J54" s="66">
        <f t="shared" si="22"/>
        <v>91584.113778513187</v>
      </c>
      <c r="K54" s="66">
        <f t="shared" si="22"/>
        <v>56208.788314687496</v>
      </c>
    </row>
    <row r="55" spans="1:11">
      <c r="A55" s="35"/>
      <c r="B55" s="35" t="str">
        <f>'3 FY22 Annual Budget'!B55</f>
        <v>Management Fee</v>
      </c>
      <c r="C55" s="66">
        <f>'3 FY22 Annual Budget'!Y55</f>
        <v>0</v>
      </c>
      <c r="D55" s="66" t="s">
        <v>224</v>
      </c>
      <c r="E55" s="69">
        <f t="shared" si="20"/>
        <v>0</v>
      </c>
      <c r="F55" s="69">
        <f t="shared" si="21"/>
        <v>1</v>
      </c>
      <c r="G55" s="66">
        <f t="shared" si="3"/>
        <v>0</v>
      </c>
      <c r="H55" s="66">
        <f t="shared" si="4"/>
        <v>0</v>
      </c>
      <c r="I55" s="66">
        <f t="shared" si="5"/>
        <v>0</v>
      </c>
      <c r="J55" s="66">
        <f t="shared" si="22"/>
        <v>0</v>
      </c>
      <c r="K55" s="66">
        <f t="shared" si="22"/>
        <v>0</v>
      </c>
    </row>
    <row r="56" spans="1:11">
      <c r="A56" s="35"/>
      <c r="B56" s="35" t="str">
        <f>'3 FY22 Annual Budget'!B56</f>
        <v>Interest Expense (non-facility)</v>
      </c>
      <c r="C56" s="66">
        <f>'3 FY22 Annual Budget'!Y56</f>
        <v>0</v>
      </c>
      <c r="D56" s="66" t="s">
        <v>224</v>
      </c>
      <c r="E56" s="69">
        <f t="shared" si="20"/>
        <v>0</v>
      </c>
      <c r="F56" s="69">
        <f t="shared" si="21"/>
        <v>1</v>
      </c>
      <c r="G56" s="66">
        <f t="shared" si="3"/>
        <v>0</v>
      </c>
      <c r="H56" s="66">
        <f t="shared" si="4"/>
        <v>0</v>
      </c>
      <c r="I56" s="66">
        <f t="shared" si="5"/>
        <v>0</v>
      </c>
      <c r="J56" s="66">
        <f t="shared" si="22"/>
        <v>0</v>
      </c>
      <c r="K56" s="66">
        <f t="shared" si="22"/>
        <v>0</v>
      </c>
    </row>
    <row r="57" spans="1:11">
      <c r="A57" s="35"/>
      <c r="B57" s="35" t="str">
        <f>'3 FY22 Annual Budget'!B57</f>
        <v>Depreciation and Amortization (non-facility)</v>
      </c>
      <c r="C57" s="66">
        <f>'3 FY22 Annual Budget'!Y57</f>
        <v>175791.03125</v>
      </c>
      <c r="D57" s="66" t="s">
        <v>224</v>
      </c>
      <c r="E57" s="69">
        <f t="shared" si="20"/>
        <v>0</v>
      </c>
      <c r="F57" s="69">
        <f t="shared" si="21"/>
        <v>1</v>
      </c>
      <c r="G57" s="66">
        <f t="shared" si="3"/>
        <v>0</v>
      </c>
      <c r="H57" s="66">
        <f t="shared" si="4"/>
        <v>175791.03125</v>
      </c>
      <c r="I57" s="66">
        <f t="shared" si="5"/>
        <v>1171.9402083333334</v>
      </c>
      <c r="J57" s="66">
        <f t="shared" si="22"/>
        <v>383717.88599056378</v>
      </c>
      <c r="K57" s="66">
        <f t="shared" si="22"/>
        <v>232044.16125</v>
      </c>
    </row>
    <row r="58" spans="1:11">
      <c r="A58" s="35"/>
      <c r="B58" s="35" t="str">
        <f>'3 FY22 Annual Budget'!B58</f>
        <v>Other General Expense</v>
      </c>
      <c r="C58" s="66">
        <f>'3 FY22 Annual Budget'!Y58</f>
        <v>405703.18508911133</v>
      </c>
      <c r="D58" s="66" t="s">
        <v>224</v>
      </c>
      <c r="E58" s="69">
        <f t="shared" si="20"/>
        <v>0</v>
      </c>
      <c r="F58" s="69">
        <f t="shared" si="21"/>
        <v>1</v>
      </c>
      <c r="G58" s="66">
        <f t="shared" si="3"/>
        <v>0</v>
      </c>
      <c r="H58" s="66">
        <f t="shared" si="4"/>
        <v>405703.18508911133</v>
      </c>
      <c r="I58" s="66">
        <f t="shared" si="5"/>
        <v>2704.6879005940755</v>
      </c>
      <c r="J58" s="66">
        <f t="shared" si="22"/>
        <v>885571.73488924629</v>
      </c>
      <c r="K58" s="66">
        <f t="shared" si="22"/>
        <v>535528.20431762689</v>
      </c>
    </row>
    <row r="59" spans="1:11">
      <c r="A59" s="35"/>
      <c r="B59" s="43" t="str">
        <f>'3 FY22 Annual Budget'!B59</f>
        <v>Subtotal: General Expenses</v>
      </c>
      <c r="C59" s="78">
        <f>SUM(C47:C58)</f>
        <v>1092256.517364502</v>
      </c>
      <c r="G59" s="78">
        <f t="shared" ref="G59:K59" si="23">SUM(G47:G58)</f>
        <v>106576.19618457032</v>
      </c>
      <c r="H59" s="78">
        <f t="shared" si="23"/>
        <v>985680.32117993163</v>
      </c>
      <c r="I59" s="78">
        <f t="shared" si="23"/>
        <v>6571.2021411995447</v>
      </c>
      <c r="J59" s="78">
        <f>SUM(J47:J58)</f>
        <v>2258126.0586333312</v>
      </c>
      <c r="K59" s="78">
        <f t="shared" si="23"/>
        <v>1407674.22014208</v>
      </c>
    </row>
    <row r="60" spans="1:11">
      <c r="A60" s="35"/>
      <c r="B60" s="34"/>
    </row>
    <row r="61" spans="1:11">
      <c r="A61" s="35"/>
      <c r="B61" s="43" t="str">
        <f>'3 FY22 Annual Budget'!B61</f>
        <v>TOTAL EXPENSES</v>
      </c>
      <c r="C61" s="80">
        <f>C27+C35+C44+C59</f>
        <v>7605262.001739502</v>
      </c>
      <c r="G61" s="80">
        <f t="shared" ref="G61:K61" si="24">G27+G35+G44+G59</f>
        <v>5349389.4157524407</v>
      </c>
      <c r="H61" s="80">
        <f t="shared" si="24"/>
        <v>2255872.5859870608</v>
      </c>
      <c r="I61" s="80">
        <f t="shared" si="24"/>
        <v>15039.15057324707</v>
      </c>
      <c r="J61" s="80">
        <f t="shared" si="24"/>
        <v>10273523.790548773</v>
      </c>
      <c r="K61" s="80">
        <f t="shared" si="24"/>
        <v>8327141.2292553615</v>
      </c>
    </row>
    <row r="62" spans="1:11">
      <c r="A62" s="34" t="str">
        <f>'3 FY22 Annual Budget'!A62</f>
        <v>OPERATING INCOME (LOSS)</v>
      </c>
      <c r="B62" s="43"/>
      <c r="C62" s="80">
        <f>C16-C61</f>
        <v>-2720117.6067199707</v>
      </c>
      <c r="G62" s="80">
        <f t="shared" ref="G62:K62" si="25">G16-G61</f>
        <v>-5019831.5123778749</v>
      </c>
      <c r="H62" s="80">
        <f t="shared" si="25"/>
        <v>2299713.9056579047</v>
      </c>
      <c r="I62" s="80">
        <f t="shared" si="25"/>
        <v>15331.426037719362</v>
      </c>
      <c r="J62" s="80">
        <f>J16-J61</f>
        <v>0</v>
      </c>
      <c r="K62" s="80">
        <f t="shared" si="25"/>
        <v>-1984209.1569094416</v>
      </c>
    </row>
    <row r="63" spans="1:11">
      <c r="A63" s="34"/>
      <c r="B63" s="34"/>
    </row>
    <row r="64" spans="1:11" ht="16" thickBot="1">
      <c r="A64" s="34" t="str">
        <f>'3 FY22 Annual Budget'!A64</f>
        <v>CHANGE IN NET ASSETS</v>
      </c>
      <c r="B64" s="43"/>
      <c r="C64" s="81">
        <f>C62</f>
        <v>-2720117.6067199707</v>
      </c>
      <c r="G64" s="81">
        <f t="shared" ref="G64:K64" si="26">G62</f>
        <v>-5019831.5123778749</v>
      </c>
      <c r="H64" s="81">
        <f t="shared" si="26"/>
        <v>2299713.9056579047</v>
      </c>
      <c r="I64" s="81">
        <f t="shared" si="26"/>
        <v>15331.426037719362</v>
      </c>
      <c r="J64" s="81">
        <f t="shared" si="26"/>
        <v>0</v>
      </c>
      <c r="K64" s="81">
        <f t="shared" si="26"/>
        <v>-1984209.1569094416</v>
      </c>
    </row>
    <row r="65" spans="1:12" ht="16" thickTop="1">
      <c r="A65" s="82"/>
      <c r="B65" s="82"/>
    </row>
    <row r="66" spans="1:12">
      <c r="A66" s="82"/>
      <c r="B66" s="35" t="s">
        <v>242</v>
      </c>
      <c r="C66" s="80">
        <f>C61-C39-C57</f>
        <v>6300415.939239502</v>
      </c>
      <c r="J66" s="80">
        <f t="shared" ref="J66:K66" si="27">J61-J39-J57</f>
        <v>8760750.8733082097</v>
      </c>
      <c r="K66" s="80">
        <f t="shared" si="27"/>
        <v>6966042.0367553616</v>
      </c>
      <c r="L66" s="80">
        <f>K66</f>
        <v>6966042.0367553616</v>
      </c>
    </row>
    <row r="67" spans="1:12">
      <c r="A67" s="82"/>
      <c r="B67" s="35" t="s">
        <v>243</v>
      </c>
      <c r="C67" s="66">
        <f>C16-C66</f>
        <v>-1415271.5442199707</v>
      </c>
      <c r="J67" s="66">
        <f>J16-J66</f>
        <v>1512772.9172405619</v>
      </c>
      <c r="K67" s="66">
        <f>K16-K66</f>
        <v>-623109.96440944169</v>
      </c>
      <c r="L67" s="66">
        <f>K67+R12</f>
        <v>1496841.7676708247</v>
      </c>
    </row>
    <row r="68" spans="1:12">
      <c r="A68" s="82"/>
      <c r="B68" s="35" t="s">
        <v>244</v>
      </c>
      <c r="C68" s="83">
        <v>0</v>
      </c>
      <c r="J68" s="80">
        <f t="shared" ref="J68:K70" si="28">$C68</f>
        <v>0</v>
      </c>
      <c r="K68" s="80">
        <f t="shared" si="28"/>
        <v>0</v>
      </c>
      <c r="L68" s="80">
        <f>K68</f>
        <v>0</v>
      </c>
    </row>
    <row r="69" spans="1:12">
      <c r="A69" s="82"/>
      <c r="B69" s="35" t="s">
        <v>245</v>
      </c>
      <c r="C69" s="79">
        <f>SUM(C67:C68)</f>
        <v>-1415271.5442199707</v>
      </c>
      <c r="J69" s="84">
        <f>SUM(J67:J68)</f>
        <v>1512772.9172405619</v>
      </c>
      <c r="K69" s="79">
        <f>SUM(K67:K68)</f>
        <v>-623109.96440944169</v>
      </c>
      <c r="L69" s="79">
        <f>SUM(L67:L68)</f>
        <v>1496841.7676708247</v>
      </c>
    </row>
    <row r="70" spans="1:12">
      <c r="A70" s="82"/>
      <c r="B70" s="35" t="s">
        <v>246</v>
      </c>
      <c r="C70" s="83">
        <v>7692447</v>
      </c>
      <c r="J70" s="80">
        <f t="shared" si="28"/>
        <v>7692447</v>
      </c>
      <c r="K70" s="80">
        <f t="shared" si="28"/>
        <v>7692447</v>
      </c>
      <c r="L70" s="66">
        <f>K70</f>
        <v>7692447</v>
      </c>
    </row>
    <row r="71" spans="1:12">
      <c r="A71" s="82"/>
      <c r="B71" s="35" t="s">
        <v>247</v>
      </c>
      <c r="C71" s="80">
        <f>C69+C70</f>
        <v>6277175.4557800293</v>
      </c>
      <c r="J71" s="78">
        <f>J69+J70</f>
        <v>9205219.9172405619</v>
      </c>
      <c r="K71" s="78">
        <f>K69+K70</f>
        <v>7069337.0355905583</v>
      </c>
      <c r="L71" s="78">
        <f>L69+L70</f>
        <v>9189288.7676708251</v>
      </c>
    </row>
    <row r="72" spans="1:12" ht="16" thickBot="1">
      <c r="A72" s="82"/>
      <c r="B72" s="34" t="s">
        <v>248</v>
      </c>
      <c r="C72" s="85">
        <f>C71/(C66/365)</f>
        <v>363.65361643667427</v>
      </c>
      <c r="J72" s="85">
        <f>J71/(J66/365)</f>
        <v>383.51795620961968</v>
      </c>
      <c r="K72" s="86">
        <f>K71/(K66/365)</f>
        <v>370.41235243426809</v>
      </c>
      <c r="L72" s="86">
        <f>L71/(L66/365)</f>
        <v>481.4915532381882</v>
      </c>
    </row>
    <row r="73" spans="1:12" ht="16" thickTop="1">
      <c r="A73" s="82"/>
      <c r="B73" s="35"/>
    </row>
    <row r="74" spans="1:12">
      <c r="A74" s="82"/>
      <c r="B74" s="35" t="s">
        <v>249</v>
      </c>
      <c r="C74" s="83">
        <f>8858882-181499</f>
        <v>8677383</v>
      </c>
      <c r="J74" s="66">
        <f>$C74</f>
        <v>8677383</v>
      </c>
      <c r="K74" s="66">
        <f>$C74</f>
        <v>8677383</v>
      </c>
      <c r="L74" s="66">
        <f>K74</f>
        <v>8677383</v>
      </c>
    </row>
    <row r="75" spans="1:12" ht="16" thickBot="1">
      <c r="A75" s="82"/>
      <c r="B75" s="34" t="s">
        <v>250</v>
      </c>
      <c r="C75" s="81">
        <f>C69+C74</f>
        <v>7262111.4557800293</v>
      </c>
      <c r="J75" s="85">
        <f>J69+J74</f>
        <v>10190155.917240562</v>
      </c>
      <c r="K75" s="86">
        <f>K69+K74</f>
        <v>8054273.0355905583</v>
      </c>
      <c r="L75" s="86">
        <f>L69+L74</f>
        <v>10174224.767670825</v>
      </c>
    </row>
    <row r="76" spans="1:12" ht="16" thickTop="1"/>
  </sheetData>
  <mergeCells count="2">
    <mergeCell ref="C3:I3"/>
    <mergeCell ref="Q5:R5"/>
  </mergeCells>
  <conditionalFormatting sqref="C68 C70 C74 K1">
    <cfRule type="containsBlanks" dxfId="2" priority="6">
      <formula>LEN(TRIM(C1))=0</formula>
    </cfRule>
  </conditionalFormatting>
  <conditionalFormatting sqref="R9">
    <cfRule type="containsText" dxfId="1" priority="4" operator="containsText" text="No">
      <formula>NOT(ISERROR(SEARCH("No",R9)))</formula>
    </cfRule>
    <cfRule type="containsText" dxfId="0" priority="5" operator="containsText" text="Yes">
      <formula>NOT(ISERROR(SEARCH("Yes",R9)))</formula>
    </cfRule>
  </conditionalFormatting>
  <dataValidations count="2">
    <dataValidation type="list" allowBlank="1" showInputMessage="1" showErrorMessage="1" sqref="D7:D15 D30:D34 D20:D26 D38:D43 D47:D58" xr:uid="{ED3894A2-BD68-9B41-AEC2-3267E52A18EA}">
      <formula1>Variability</formula1>
    </dataValidation>
    <dataValidation type="list" allowBlank="1" showInputMessage="1" showErrorMessage="1" sqref="D44:D46 D35:D37 D27:D29 D16:D19" xr:uid="{37C07443-1960-5941-8A83-1342A40B9955}">
      <formula1>"Fixed,Hybrid,Variable"</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7A171-6859-3A4C-A52F-1C87ACC2E29F}">
  <dimension ref="A1:B74"/>
  <sheetViews>
    <sheetView zoomScale="150" zoomScaleNormal="150" workbookViewId="0">
      <pane ySplit="1" topLeftCell="A2" activePane="bottomLeft" state="frozen"/>
      <selection pane="bottomLeft" activeCell="A2" sqref="A2"/>
    </sheetView>
  </sheetViews>
  <sheetFormatPr baseColWidth="10" defaultColWidth="10.83203125" defaultRowHeight="15"/>
  <cols>
    <col min="1" max="1" width="65.33203125" style="62" bestFit="1" customWidth="1"/>
    <col min="2" max="2" width="9.83203125" style="62" bestFit="1" customWidth="1"/>
    <col min="3" max="16384" width="10.83203125" style="62"/>
  </cols>
  <sheetData>
    <row r="1" spans="1:2">
      <c r="A1" s="62" t="s">
        <v>205</v>
      </c>
      <c r="B1" s="62" t="s">
        <v>204</v>
      </c>
    </row>
    <row r="2" spans="1:2">
      <c r="A2" s="62" t="s">
        <v>203</v>
      </c>
      <c r="B2" s="62">
        <v>178</v>
      </c>
    </row>
    <row r="3" spans="1:2">
      <c r="A3" s="62" t="s">
        <v>202</v>
      </c>
      <c r="B3" s="62">
        <v>155</v>
      </c>
    </row>
    <row r="4" spans="1:2">
      <c r="A4" s="62" t="s">
        <v>201</v>
      </c>
      <c r="B4" s="62">
        <v>103</v>
      </c>
    </row>
    <row r="5" spans="1:2">
      <c r="A5" s="62" t="s">
        <v>200</v>
      </c>
      <c r="B5" s="62">
        <v>168</v>
      </c>
    </row>
    <row r="6" spans="1:2">
      <c r="A6" s="62" t="s">
        <v>199</v>
      </c>
      <c r="B6" s="62">
        <v>189</v>
      </c>
    </row>
    <row r="7" spans="1:2">
      <c r="A7" s="62" t="s">
        <v>198</v>
      </c>
      <c r="B7" s="62">
        <v>107</v>
      </c>
    </row>
    <row r="8" spans="1:2">
      <c r="A8" s="62" t="s">
        <v>197</v>
      </c>
      <c r="B8" s="62">
        <v>119</v>
      </c>
    </row>
    <row r="9" spans="1:2">
      <c r="A9" s="62" t="s">
        <v>196</v>
      </c>
      <c r="B9" s="62">
        <v>108</v>
      </c>
    </row>
    <row r="10" spans="1:2">
      <c r="A10" s="62" t="s">
        <v>195</v>
      </c>
      <c r="B10" s="62">
        <v>334</v>
      </c>
    </row>
    <row r="11" spans="1:2">
      <c r="A11" s="62" t="s">
        <v>194</v>
      </c>
      <c r="B11" s="62">
        <v>162</v>
      </c>
    </row>
    <row r="12" spans="1:2">
      <c r="A12" s="62" t="s">
        <v>193</v>
      </c>
      <c r="B12" s="62">
        <v>123</v>
      </c>
    </row>
    <row r="13" spans="1:2">
      <c r="A13" s="62" t="s">
        <v>192</v>
      </c>
      <c r="B13" s="62">
        <v>156</v>
      </c>
    </row>
    <row r="14" spans="1:2">
      <c r="A14" s="62" t="s">
        <v>191</v>
      </c>
      <c r="B14" s="62">
        <v>109</v>
      </c>
    </row>
    <row r="15" spans="1:2">
      <c r="A15" s="62" t="s">
        <v>190</v>
      </c>
      <c r="B15" s="62">
        <v>153</v>
      </c>
    </row>
    <row r="16" spans="1:2">
      <c r="A16" s="62" t="s">
        <v>189</v>
      </c>
      <c r="B16" s="62">
        <v>176</v>
      </c>
    </row>
    <row r="17" spans="1:2">
      <c r="A17" s="62" t="s">
        <v>188</v>
      </c>
      <c r="B17" s="62">
        <v>169</v>
      </c>
    </row>
    <row r="18" spans="1:2">
      <c r="A18" s="62" t="s">
        <v>187</v>
      </c>
      <c r="B18" s="62">
        <v>114</v>
      </c>
    </row>
    <row r="19" spans="1:2">
      <c r="A19" s="62" t="s">
        <v>186</v>
      </c>
      <c r="B19" s="62">
        <v>115</v>
      </c>
    </row>
    <row r="20" spans="1:2">
      <c r="A20" s="62" t="s">
        <v>185</v>
      </c>
      <c r="B20" s="62">
        <v>170</v>
      </c>
    </row>
    <row r="21" spans="1:2">
      <c r="A21" s="62" t="s">
        <v>184</v>
      </c>
      <c r="B21" s="62">
        <v>179</v>
      </c>
    </row>
    <row r="22" spans="1:2">
      <c r="A22" s="62" t="s">
        <v>183</v>
      </c>
      <c r="B22" s="62">
        <v>317</v>
      </c>
    </row>
    <row r="23" spans="1:2">
      <c r="A23" s="62" t="s">
        <v>182</v>
      </c>
      <c r="B23" s="62">
        <v>181</v>
      </c>
    </row>
    <row r="24" spans="1:2">
      <c r="A24" s="62" t="s">
        <v>181</v>
      </c>
      <c r="B24" s="62">
        <v>116</v>
      </c>
    </row>
    <row r="25" spans="1:2">
      <c r="A25" s="62" t="s">
        <v>180</v>
      </c>
      <c r="B25" s="62">
        <v>117</v>
      </c>
    </row>
    <row r="26" spans="1:2">
      <c r="A26" s="62" t="s">
        <v>179</v>
      </c>
      <c r="B26" s="62">
        <v>118</v>
      </c>
    </row>
    <row r="27" spans="1:2">
      <c r="A27" s="62" t="s">
        <v>178</v>
      </c>
      <c r="B27" s="62">
        <v>144</v>
      </c>
    </row>
    <row r="28" spans="1:2">
      <c r="A28" s="62" t="s">
        <v>177</v>
      </c>
      <c r="B28" s="62">
        <v>120</v>
      </c>
    </row>
    <row r="29" spans="1:2">
      <c r="A29" s="62" t="s">
        <v>176</v>
      </c>
      <c r="B29" s="62">
        <v>340</v>
      </c>
    </row>
    <row r="30" spans="1:2">
      <c r="A30" s="62" t="s">
        <v>175</v>
      </c>
      <c r="B30" s="62">
        <v>333</v>
      </c>
    </row>
    <row r="31" spans="1:2">
      <c r="A31" s="62" t="s">
        <v>174</v>
      </c>
      <c r="B31" s="62">
        <v>190</v>
      </c>
    </row>
    <row r="32" spans="1:2">
      <c r="A32" s="62" t="s">
        <v>173</v>
      </c>
      <c r="B32" s="62">
        <v>180</v>
      </c>
    </row>
    <row r="33" spans="1:2">
      <c r="A33" s="62" t="s">
        <v>172</v>
      </c>
      <c r="B33" s="62">
        <v>121</v>
      </c>
    </row>
    <row r="34" spans="1:2">
      <c r="A34" s="62" t="s">
        <v>171</v>
      </c>
      <c r="B34" s="62">
        <v>124</v>
      </c>
    </row>
    <row r="35" spans="1:2">
      <c r="A35" s="62" t="s">
        <v>170</v>
      </c>
      <c r="B35" s="62">
        <v>345</v>
      </c>
    </row>
    <row r="36" spans="1:2">
      <c r="A36" s="62" t="s">
        <v>169</v>
      </c>
      <c r="B36" s="62">
        <v>126</v>
      </c>
    </row>
    <row r="37" spans="1:2">
      <c r="A37" s="62" t="s">
        <v>168</v>
      </c>
      <c r="B37" s="62">
        <v>127</v>
      </c>
    </row>
    <row r="38" spans="1:2">
      <c r="A38" s="62" t="s">
        <v>167</v>
      </c>
      <c r="B38" s="62">
        <v>173</v>
      </c>
    </row>
    <row r="39" spans="1:2">
      <c r="A39" s="62" t="s">
        <v>166</v>
      </c>
      <c r="B39" s="62">
        <v>165</v>
      </c>
    </row>
    <row r="40" spans="1:2">
      <c r="A40" s="62" t="s">
        <v>165</v>
      </c>
      <c r="B40" s="62">
        <v>186</v>
      </c>
    </row>
    <row r="41" spans="1:2">
      <c r="A41" s="62" t="s">
        <v>164</v>
      </c>
      <c r="B41" s="62">
        <v>129</v>
      </c>
    </row>
    <row r="42" spans="1:2">
      <c r="A42" s="62" t="s">
        <v>163</v>
      </c>
      <c r="B42" s="62">
        <v>130</v>
      </c>
    </row>
    <row r="43" spans="1:2">
      <c r="A43" s="62" t="s">
        <v>162</v>
      </c>
      <c r="B43" s="62">
        <v>172</v>
      </c>
    </row>
    <row r="44" spans="1:2">
      <c r="A44" s="62" t="s">
        <v>161</v>
      </c>
      <c r="B44" s="62">
        <v>885</v>
      </c>
    </row>
    <row r="45" spans="1:2">
      <c r="A45" s="62" t="s">
        <v>160</v>
      </c>
      <c r="B45" s="62">
        <v>177</v>
      </c>
    </row>
    <row r="46" spans="1:2">
      <c r="A46" s="62" t="s">
        <v>159</v>
      </c>
      <c r="B46" s="62">
        <v>132</v>
      </c>
    </row>
    <row r="47" spans="1:2">
      <c r="A47" s="62" t="s">
        <v>158</v>
      </c>
      <c r="B47" s="62">
        <v>133</v>
      </c>
    </row>
    <row r="48" spans="1:2">
      <c r="A48" s="62" t="s">
        <v>157</v>
      </c>
      <c r="B48" s="62">
        <v>135</v>
      </c>
    </row>
    <row r="49" spans="1:2">
      <c r="A49" s="62" t="s">
        <v>156</v>
      </c>
      <c r="B49" s="62">
        <v>184</v>
      </c>
    </row>
    <row r="50" spans="1:2">
      <c r="A50" s="62" t="s">
        <v>155</v>
      </c>
      <c r="B50" s="62">
        <v>171</v>
      </c>
    </row>
    <row r="51" spans="1:2">
      <c r="A51" s="62" t="s">
        <v>154</v>
      </c>
      <c r="B51" s="62">
        <v>163</v>
      </c>
    </row>
    <row r="52" spans="1:2">
      <c r="A52" s="62" t="s">
        <v>153</v>
      </c>
      <c r="B52" s="62">
        <v>138</v>
      </c>
    </row>
    <row r="53" spans="1:2">
      <c r="A53" s="62" t="s">
        <v>152</v>
      </c>
      <c r="B53" s="62">
        <v>125</v>
      </c>
    </row>
    <row r="54" spans="1:2">
      <c r="A54" s="62" t="s">
        <v>151</v>
      </c>
      <c r="B54" s="62">
        <v>167</v>
      </c>
    </row>
    <row r="55" spans="1:2">
      <c r="A55" s="62" t="s">
        <v>150</v>
      </c>
      <c r="B55" s="62">
        <v>191</v>
      </c>
    </row>
    <row r="56" spans="1:2">
      <c r="A56" s="62" t="s">
        <v>149</v>
      </c>
      <c r="B56" s="62">
        <v>140</v>
      </c>
    </row>
    <row r="57" spans="1:2">
      <c r="A57" s="62" t="s">
        <v>148</v>
      </c>
      <c r="B57" s="62">
        <v>142</v>
      </c>
    </row>
    <row r="58" spans="1:2">
      <c r="A58" s="62" t="s">
        <v>147</v>
      </c>
      <c r="B58" s="62">
        <v>174</v>
      </c>
    </row>
    <row r="59" spans="1:2">
      <c r="A59" s="62" t="s">
        <v>146</v>
      </c>
      <c r="B59" s="62">
        <v>166</v>
      </c>
    </row>
    <row r="60" spans="1:2">
      <c r="A60" s="62" t="s">
        <v>145</v>
      </c>
      <c r="B60" s="62">
        <v>350</v>
      </c>
    </row>
    <row r="61" spans="1:2">
      <c r="A61" s="62" t="s">
        <v>144</v>
      </c>
      <c r="B61" s="62">
        <v>175</v>
      </c>
    </row>
    <row r="62" spans="1:2">
      <c r="A62" s="62" t="s">
        <v>143</v>
      </c>
      <c r="B62" s="62">
        <v>143</v>
      </c>
    </row>
    <row r="63" spans="1:2">
      <c r="A63" s="62" t="s">
        <v>142</v>
      </c>
      <c r="B63" s="62">
        <v>314</v>
      </c>
    </row>
    <row r="64" spans="1:2">
      <c r="A64" s="62" t="s">
        <v>141</v>
      </c>
      <c r="B64" s="62">
        <v>188</v>
      </c>
    </row>
    <row r="65" spans="1:2">
      <c r="A65" s="62" t="s">
        <v>140</v>
      </c>
      <c r="B65" s="62">
        <v>303</v>
      </c>
    </row>
    <row r="66" spans="1:2">
      <c r="A66" s="62" t="s">
        <v>139</v>
      </c>
      <c r="B66" s="62">
        <v>145</v>
      </c>
    </row>
    <row r="67" spans="1:2">
      <c r="A67" s="62" t="s">
        <v>138</v>
      </c>
      <c r="B67" s="62">
        <v>323</v>
      </c>
    </row>
    <row r="68" spans="1:2">
      <c r="A68" s="62" t="s">
        <v>137</v>
      </c>
      <c r="B68" s="62">
        <v>146</v>
      </c>
    </row>
    <row r="69" spans="1:2">
      <c r="A69" s="62" t="s">
        <v>136</v>
      </c>
      <c r="B69" s="62">
        <v>149</v>
      </c>
    </row>
    <row r="70" spans="1:2">
      <c r="A70" s="62" t="s">
        <v>135</v>
      </c>
      <c r="B70" s="62">
        <v>185</v>
      </c>
    </row>
    <row r="71" spans="1:2">
      <c r="A71" s="62" t="s">
        <v>134</v>
      </c>
      <c r="B71" s="62">
        <v>151</v>
      </c>
    </row>
    <row r="72" spans="1:2">
      <c r="A72" s="62" t="s">
        <v>133</v>
      </c>
      <c r="B72" s="62">
        <v>194</v>
      </c>
    </row>
    <row r="73" spans="1:2">
      <c r="A73" s="62" t="s">
        <v>132</v>
      </c>
      <c r="B73" s="62">
        <v>160</v>
      </c>
    </row>
    <row r="74" spans="1:2">
      <c r="A74" s="62" t="s">
        <v>131</v>
      </c>
      <c r="B74" s="62">
        <v>131</v>
      </c>
    </row>
  </sheetData>
  <sheetProtection algorithmName="SHA-512" hashValue="pw7xRfAHRy3smT+rbZz4IvdS9dgtXSYk2swtgRZeyyJM+FKkVhtzDURzzOFs/WGVgzlg1Uw3TXJIcNfL8i8VVg==" saltValue="BxBkDPkHou0oFjWoWcETw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Instructions - Read First</vt:lpstr>
      <vt:lpstr>2 Enrollments</vt:lpstr>
      <vt:lpstr>3 FY22 Annual Budget</vt:lpstr>
      <vt:lpstr>FY22 Pro Forma Estimate</vt:lpstr>
      <vt:lpstr>LEA List</vt:lpstr>
      <vt:lpstr>'FY22 Pro Forma Estimate'!LEA_Name</vt:lpstr>
      <vt:lpstr>LEA_Name</vt:lpstr>
      <vt:lpstr>'1 Instructions - Read First'!Print_Area</vt:lpstr>
      <vt:lpstr>'3 FY22 Annual Budget'!Print_Area</vt:lpstr>
      <vt:lpstr>Variability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Kupferberg</dc:creator>
  <cp:lastModifiedBy>Mike Bayuk</cp:lastModifiedBy>
  <cp:lastPrinted>2016-11-10T20:34:43Z</cp:lastPrinted>
  <dcterms:created xsi:type="dcterms:W3CDTF">2015-03-09T19:17:40Z</dcterms:created>
  <dcterms:modified xsi:type="dcterms:W3CDTF">2022-11-13T12:50:35Z</dcterms:modified>
</cp:coreProperties>
</file>