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loi@centercitypcs.org/Downloads/"/>
    </mc:Choice>
  </mc:AlternateContent>
  <xr:revisionPtr revIDLastSave="0" documentId="13_ncr:1_{F7AA49E9-92D6-0C44-8279-928EA4A1279B}" xr6:coauthVersionLast="36" xr6:coauthVersionMax="36" xr10:uidLastSave="{00000000-0000-0000-0000-000000000000}"/>
  <bookViews>
    <workbookView xWindow="0" yWindow="460" windowWidth="32900" windowHeight="1954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7" i="5" l="1"/>
  <c r="H39" i="5"/>
  <c r="H53" i="5"/>
  <c r="H58" i="5"/>
  <c r="L54" i="5"/>
  <c r="H54" i="5"/>
  <c r="H51" i="5"/>
  <c r="H50" i="5"/>
  <c r="H49" i="5"/>
  <c r="H48" i="5"/>
  <c r="H47" i="5"/>
  <c r="V43" i="5"/>
  <c r="H43" i="5"/>
  <c r="H42" i="5"/>
  <c r="H41" i="5"/>
  <c r="H38" i="5"/>
  <c r="H34" i="5"/>
  <c r="J33" i="5"/>
  <c r="I33" i="5"/>
  <c r="H32" i="5"/>
  <c r="H31" i="5"/>
  <c r="H30" i="5"/>
  <c r="H20" i="5"/>
  <c r="V26" i="5"/>
  <c r="J26" i="5"/>
  <c r="I26" i="5"/>
  <c r="H26" i="5"/>
  <c r="R25" i="5"/>
  <c r="Q25" i="5"/>
  <c r="P25" i="5"/>
  <c r="V25" i="5"/>
  <c r="N25" i="5"/>
  <c r="H25" i="5"/>
  <c r="J25" i="5"/>
  <c r="I25" i="5"/>
  <c r="H24" i="5"/>
  <c r="V23" i="5"/>
  <c r="J23" i="5"/>
  <c r="I23" i="5"/>
  <c r="H23" i="5"/>
  <c r="J21" i="5"/>
  <c r="I21" i="5"/>
  <c r="J22" i="5"/>
  <c r="I22" i="5"/>
  <c r="F25" i="5"/>
  <c r="F24" i="5"/>
  <c r="F23" i="5"/>
  <c r="H15" i="5"/>
  <c r="J13" i="5"/>
  <c r="I13" i="5"/>
  <c r="V12" i="5"/>
  <c r="R12" i="5"/>
  <c r="N12" i="5"/>
  <c r="J12" i="5"/>
  <c r="J11" i="5"/>
  <c r="I11" i="5"/>
  <c r="H10" i="5"/>
  <c r="J9" i="5"/>
  <c r="I9" i="5"/>
  <c r="J8" i="5"/>
  <c r="I8" i="5"/>
  <c r="V7" i="5"/>
  <c r="J7" i="5"/>
  <c r="I7" i="5"/>
  <c r="U23" i="5" l="1"/>
  <c r="P23" i="5"/>
  <c r="T23" i="5"/>
  <c r="U26" i="5"/>
  <c r="T26" i="5"/>
  <c r="R26" i="5"/>
  <c r="Q26" i="5"/>
  <c r="P26" i="5"/>
  <c r="N26" i="5"/>
  <c r="M26" i="5"/>
  <c r="L26" i="5"/>
  <c r="U25" i="5"/>
  <c r="T25" i="5"/>
  <c r="M25" i="5"/>
  <c r="L25" i="5"/>
  <c r="V24" i="5"/>
  <c r="U24" i="5"/>
  <c r="T24" i="5"/>
  <c r="T21" i="5"/>
  <c r="U22" i="5"/>
  <c r="V22" i="5"/>
  <c r="V21" i="5"/>
  <c r="U21" i="5"/>
  <c r="Q22" i="5"/>
  <c r="P22" i="5"/>
  <c r="N22" i="5"/>
  <c r="M21" i="5"/>
  <c r="R24" i="5"/>
  <c r="Q24" i="5"/>
  <c r="P24" i="5"/>
  <c r="N24" i="5"/>
  <c r="M24" i="5"/>
  <c r="L24" i="5"/>
  <c r="J24" i="5"/>
  <c r="I24" i="5"/>
  <c r="V20" i="5"/>
  <c r="N21" i="5" l="1"/>
  <c r="P21" i="5"/>
  <c r="L23" i="5"/>
  <c r="Q23" i="5"/>
  <c r="L22" i="5"/>
  <c r="Q21" i="5"/>
  <c r="R22" i="5"/>
  <c r="T22" i="5"/>
  <c r="M23" i="5"/>
  <c r="R23" i="5"/>
  <c r="L21" i="5"/>
  <c r="M22" i="5"/>
  <c r="R21" i="5"/>
  <c r="N23" i="5"/>
  <c r="M20" i="5"/>
  <c r="P20" i="5"/>
  <c r="I20" i="5"/>
  <c r="N20" i="5"/>
  <c r="Q20" i="5"/>
  <c r="T20" i="5"/>
  <c r="J20" i="5"/>
  <c r="R20" i="5"/>
  <c r="U20" i="5"/>
  <c r="L20" i="5"/>
  <c r="W54" i="5" l="1"/>
  <c r="V57" i="5"/>
  <c r="V56" i="5"/>
  <c r="V55" i="5"/>
  <c r="V53" i="5"/>
  <c r="V52" i="5"/>
  <c r="U57" i="5"/>
  <c r="T57" i="5"/>
  <c r="U56" i="5"/>
  <c r="T56" i="5"/>
  <c r="U55" i="5"/>
  <c r="W55" i="5" s="1"/>
  <c r="T55" i="5"/>
  <c r="U53" i="5"/>
  <c r="T53" i="5"/>
  <c r="U52" i="5"/>
  <c r="W52" i="5" s="1"/>
  <c r="T52" i="5"/>
  <c r="R57" i="5"/>
  <c r="Q57" i="5"/>
  <c r="P57" i="5"/>
  <c r="R56" i="5"/>
  <c r="Q56" i="5"/>
  <c r="P56" i="5"/>
  <c r="R55" i="5"/>
  <c r="Q55" i="5"/>
  <c r="P55" i="5"/>
  <c r="R53" i="5"/>
  <c r="Q53" i="5"/>
  <c r="P53" i="5"/>
  <c r="R52" i="5"/>
  <c r="Q52" i="5"/>
  <c r="P52" i="5"/>
  <c r="P51" i="5"/>
  <c r="Q47" i="5"/>
  <c r="N57" i="5"/>
  <c r="M57" i="5"/>
  <c r="L57" i="5"/>
  <c r="N56" i="5"/>
  <c r="M56" i="5"/>
  <c r="L56" i="5"/>
  <c r="N55" i="5"/>
  <c r="M55" i="5"/>
  <c r="L55" i="5"/>
  <c r="N53" i="5"/>
  <c r="M53" i="5"/>
  <c r="O53" i="5" s="1"/>
  <c r="L53" i="5"/>
  <c r="N52" i="5"/>
  <c r="M52" i="5"/>
  <c r="L52" i="5"/>
  <c r="J57" i="5"/>
  <c r="I57" i="5"/>
  <c r="J56" i="5"/>
  <c r="I56" i="5"/>
  <c r="J55" i="5"/>
  <c r="I55" i="5"/>
  <c r="J53" i="5"/>
  <c r="I53" i="5"/>
  <c r="J52" i="5"/>
  <c r="I52" i="5"/>
  <c r="J47" i="5"/>
  <c r="V58" i="5"/>
  <c r="L51" i="5"/>
  <c r="V50" i="5"/>
  <c r="Q49" i="5"/>
  <c r="T48" i="5"/>
  <c r="L47" i="5"/>
  <c r="V40" i="5"/>
  <c r="U40" i="5"/>
  <c r="T40" i="5"/>
  <c r="V39" i="5"/>
  <c r="U39" i="5"/>
  <c r="T39" i="5"/>
  <c r="W39" i="5" s="1"/>
  <c r="U38" i="5"/>
  <c r="R40" i="5"/>
  <c r="Q40" i="5"/>
  <c r="P40" i="5"/>
  <c r="R39" i="5"/>
  <c r="Q39" i="5"/>
  <c r="P39" i="5"/>
  <c r="M42" i="5"/>
  <c r="N40" i="5"/>
  <c r="M40" i="5"/>
  <c r="L40" i="5"/>
  <c r="N39" i="5"/>
  <c r="M39" i="5"/>
  <c r="L39" i="5"/>
  <c r="M38" i="5"/>
  <c r="J42" i="5"/>
  <c r="J40" i="5"/>
  <c r="I40" i="5"/>
  <c r="J39" i="5"/>
  <c r="I39" i="5"/>
  <c r="K39" i="5" s="1"/>
  <c r="M43" i="5"/>
  <c r="U42" i="5"/>
  <c r="T41" i="5"/>
  <c r="V38" i="5"/>
  <c r="V30" i="5"/>
  <c r="U32" i="5"/>
  <c r="Q30" i="5"/>
  <c r="L30" i="5"/>
  <c r="U34" i="5"/>
  <c r="L33" i="5"/>
  <c r="V33" i="5"/>
  <c r="T32" i="5"/>
  <c r="I31" i="5"/>
  <c r="V15" i="5"/>
  <c r="P15" i="5"/>
  <c r="I15" i="5"/>
  <c r="R15" i="5"/>
  <c r="O12" i="5"/>
  <c r="R13" i="5"/>
  <c r="V14" i="5"/>
  <c r="U14" i="5"/>
  <c r="T14" i="5"/>
  <c r="R14" i="5"/>
  <c r="S14" i="5" s="1"/>
  <c r="Q14" i="5"/>
  <c r="P14" i="5"/>
  <c r="N14" i="5"/>
  <c r="M14" i="5"/>
  <c r="O14" i="5" s="1"/>
  <c r="L14" i="5"/>
  <c r="J14" i="5"/>
  <c r="I14" i="5"/>
  <c r="N11" i="5"/>
  <c r="U11" i="5"/>
  <c r="V11" i="5"/>
  <c r="P10" i="5"/>
  <c r="T10" i="5"/>
  <c r="V9" i="5"/>
  <c r="T9" i="5"/>
  <c r="T8" i="5"/>
  <c r="N8" i="5"/>
  <c r="R8" i="5"/>
  <c r="V8" i="5"/>
  <c r="Q7" i="5"/>
  <c r="L7" i="5"/>
  <c r="U7" i="5"/>
  <c r="F18" i="5"/>
  <c r="A1" i="2"/>
  <c r="K8" i="5"/>
  <c r="K11" i="5"/>
  <c r="K14" i="5"/>
  <c r="W14" i="5"/>
  <c r="K12" i="5"/>
  <c r="S12" i="5"/>
  <c r="W12" i="5"/>
  <c r="K33" i="5"/>
  <c r="K40" i="5"/>
  <c r="O40" i="5"/>
  <c r="X40" i="1" s="1"/>
  <c r="S40" i="5"/>
  <c r="W40" i="5"/>
  <c r="K52" i="5"/>
  <c r="Y52" i="5" s="1"/>
  <c r="O52" i="5"/>
  <c r="S52" i="5"/>
  <c r="K55" i="5"/>
  <c r="O55" i="5"/>
  <c r="S55" i="5"/>
  <c r="K56" i="5"/>
  <c r="O56" i="5"/>
  <c r="S56" i="5"/>
  <c r="K54" i="5"/>
  <c r="O54" i="5"/>
  <c r="S54" i="5"/>
  <c r="K57" i="5"/>
  <c r="I57" i="1"/>
  <c r="M57" i="1"/>
  <c r="Q57" i="1"/>
  <c r="W57" i="1" s="1"/>
  <c r="U57" i="1"/>
  <c r="I56" i="1"/>
  <c r="M56" i="1"/>
  <c r="W56" i="1" s="1"/>
  <c r="Q56" i="1"/>
  <c r="U56" i="1"/>
  <c r="I55" i="1"/>
  <c r="M55" i="1"/>
  <c r="Q55" i="1"/>
  <c r="U55" i="1"/>
  <c r="W55" i="1"/>
  <c r="I54" i="1"/>
  <c r="M54" i="1"/>
  <c r="Q54" i="1"/>
  <c r="U54" i="1"/>
  <c r="W54" i="1" s="1"/>
  <c r="I53" i="1"/>
  <c r="M53" i="1"/>
  <c r="Q53" i="1"/>
  <c r="W53" i="1" s="1"/>
  <c r="U53" i="1"/>
  <c r="I52" i="1"/>
  <c r="M52" i="1"/>
  <c r="W52" i="1" s="1"/>
  <c r="Q52" i="1"/>
  <c r="U52" i="1"/>
  <c r="I40" i="1"/>
  <c r="M40" i="1"/>
  <c r="Q40" i="1"/>
  <c r="U40" i="1"/>
  <c r="W40" i="1"/>
  <c r="I39" i="1"/>
  <c r="M39" i="1"/>
  <c r="Q39" i="1"/>
  <c r="U39" i="1"/>
  <c r="W39" i="1" s="1"/>
  <c r="W44" i="1" s="1"/>
  <c r="I14" i="1"/>
  <c r="M14" i="1"/>
  <c r="Q14" i="1"/>
  <c r="W14" i="1" s="1"/>
  <c r="U14" i="1"/>
  <c r="I8" i="1"/>
  <c r="M8" i="1"/>
  <c r="W8" i="1" s="1"/>
  <c r="Q8" i="1"/>
  <c r="U8" i="1"/>
  <c r="H16" i="5"/>
  <c r="H35" i="5"/>
  <c r="H44" i="5"/>
  <c r="H59" i="5"/>
  <c r="D16" i="5"/>
  <c r="D27" i="5"/>
  <c r="D35" i="5"/>
  <c r="D44" i="5"/>
  <c r="D59" i="5"/>
  <c r="P27" i="5"/>
  <c r="Q27" i="5"/>
  <c r="R27" i="5"/>
  <c r="L27" i="5"/>
  <c r="M27" i="5"/>
  <c r="N27" i="5"/>
  <c r="H27" i="5"/>
  <c r="I27" i="5"/>
  <c r="J27" i="5"/>
  <c r="T27" i="5"/>
  <c r="U27" i="5"/>
  <c r="V27" i="5"/>
  <c r="J42" i="2"/>
  <c r="I42" i="2"/>
  <c r="H42" i="2"/>
  <c r="G42" i="2"/>
  <c r="E42" i="2"/>
  <c r="F16" i="1"/>
  <c r="F59" i="1"/>
  <c r="F61" i="1" s="1"/>
  <c r="F44" i="1"/>
  <c r="F35" i="1"/>
  <c r="F27" i="1"/>
  <c r="G16" i="1"/>
  <c r="G59" i="1"/>
  <c r="G61" i="1" s="1"/>
  <c r="G62" i="1" s="1"/>
  <c r="G64" i="1" s="1"/>
  <c r="G70" i="1" s="1"/>
  <c r="G44" i="1"/>
  <c r="G35" i="1"/>
  <c r="G27" i="1"/>
  <c r="H16" i="1"/>
  <c r="H59" i="1"/>
  <c r="H61" i="1" s="1"/>
  <c r="H62" i="1" s="1"/>
  <c r="H64" i="1" s="1"/>
  <c r="H70" i="1" s="1"/>
  <c r="H44" i="1"/>
  <c r="H35" i="1"/>
  <c r="H27" i="1"/>
  <c r="J16" i="1"/>
  <c r="J59" i="1"/>
  <c r="J61" i="1" s="1"/>
  <c r="J62" i="1" s="1"/>
  <c r="J64" i="1" s="1"/>
  <c r="J70" i="1" s="1"/>
  <c r="J44" i="1"/>
  <c r="J35" i="1"/>
  <c r="J27" i="1"/>
  <c r="K16" i="1"/>
  <c r="K59" i="1"/>
  <c r="K61" i="1" s="1"/>
  <c r="K62" i="1" s="1"/>
  <c r="K64" i="1" s="1"/>
  <c r="K70" i="1" s="1"/>
  <c r="K44" i="1"/>
  <c r="K35" i="1"/>
  <c r="K27" i="1"/>
  <c r="L16" i="1"/>
  <c r="L59" i="1"/>
  <c r="L61" i="1" s="1"/>
  <c r="L62" i="1" s="1"/>
  <c r="L64" i="1" s="1"/>
  <c r="L70" i="1" s="1"/>
  <c r="L44" i="1"/>
  <c r="L35" i="1"/>
  <c r="L27" i="1"/>
  <c r="N16" i="1"/>
  <c r="N59" i="1"/>
  <c r="N61" i="1" s="1"/>
  <c r="N62" i="1" s="1"/>
  <c r="N64" i="1" s="1"/>
  <c r="N70" i="1" s="1"/>
  <c r="N44" i="1"/>
  <c r="N35" i="1"/>
  <c r="N27" i="1"/>
  <c r="O16" i="1"/>
  <c r="O59" i="1"/>
  <c r="O61" i="1" s="1"/>
  <c r="O62" i="1" s="1"/>
  <c r="O64" i="1" s="1"/>
  <c r="O70" i="1" s="1"/>
  <c r="O44" i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R59" i="1"/>
  <c r="R61" i="1" s="1"/>
  <c r="R62" i="1" s="1"/>
  <c r="R64" i="1" s="1"/>
  <c r="R70" i="1" s="1"/>
  <c r="R44" i="1"/>
  <c r="R35" i="1"/>
  <c r="R27" i="1"/>
  <c r="S16" i="1"/>
  <c r="S59" i="1"/>
  <c r="S61" i="1" s="1"/>
  <c r="S62" i="1" s="1"/>
  <c r="S64" i="1" s="1"/>
  <c r="S70" i="1" s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 s="1"/>
  <c r="G34" i="2"/>
  <c r="E34" i="2"/>
  <c r="J29" i="2"/>
  <c r="I29" i="2"/>
  <c r="G29" i="2"/>
  <c r="E29" i="2"/>
  <c r="A1" i="4"/>
  <c r="A1" i="5"/>
  <c r="A1" i="1"/>
  <c r="D58" i="4"/>
  <c r="D42" i="4"/>
  <c r="D31" i="4"/>
  <c r="D26" i="4"/>
  <c r="D34" i="4" s="1"/>
  <c r="D24" i="4"/>
  <c r="B58" i="4"/>
  <c r="B42" i="4"/>
  <c r="B24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J36" i="2"/>
  <c r="I36" i="2"/>
  <c r="I44" i="2" s="1"/>
  <c r="G36" i="2"/>
  <c r="G44" i="2"/>
  <c r="E36" i="2"/>
  <c r="J13" i="2"/>
  <c r="J19" i="2" s="1"/>
  <c r="I13" i="2"/>
  <c r="I19" i="2" s="1"/>
  <c r="H13" i="2"/>
  <c r="H19" i="2" s="1"/>
  <c r="G13" i="2"/>
  <c r="G19" i="2" s="1"/>
  <c r="E13" i="2"/>
  <c r="E19" i="2" s="1"/>
  <c r="B31" i="4"/>
  <c r="C31" i="4"/>
  <c r="C26" i="4"/>
  <c r="C34" i="4" s="1"/>
  <c r="B26" i="4"/>
  <c r="B34" i="4" s="1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Y12" i="5"/>
  <c r="U35" i="1"/>
  <c r="W21" i="1"/>
  <c r="U27" i="1"/>
  <c r="U16" i="1"/>
  <c r="Q59" i="1"/>
  <c r="Q61" i="1" s="1"/>
  <c r="Q62" i="1" s="1"/>
  <c r="Q64" i="1" s="1"/>
  <c r="M35" i="1"/>
  <c r="M16" i="1"/>
  <c r="I59" i="1"/>
  <c r="I61" i="1" s="1"/>
  <c r="I62" i="1" s="1"/>
  <c r="I64" i="1" s="1"/>
  <c r="Q27" i="1"/>
  <c r="U59" i="1"/>
  <c r="U61" i="1" s="1"/>
  <c r="U62" i="1" s="1"/>
  <c r="U64" i="1" s="1"/>
  <c r="Q16" i="1"/>
  <c r="W10" i="1"/>
  <c r="W15" i="1"/>
  <c r="U44" i="1"/>
  <c r="Q44" i="1"/>
  <c r="I27" i="1"/>
  <c r="Q35" i="1"/>
  <c r="I16" i="1"/>
  <c r="W41" i="1"/>
  <c r="W7" i="1"/>
  <c r="I35" i="1"/>
  <c r="M59" i="1"/>
  <c r="M61" i="1" s="1"/>
  <c r="M62" i="1" s="1"/>
  <c r="M64" i="1" s="1"/>
  <c r="W33" i="1"/>
  <c r="M27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W27" i="1"/>
  <c r="W35" i="1"/>
  <c r="D62" i="1" l="1"/>
  <c r="D64" i="1" s="1"/>
  <c r="D70" i="1" s="1"/>
  <c r="M70" i="1"/>
  <c r="F62" i="1"/>
  <c r="F64" i="1" s="1"/>
  <c r="F70" i="1" s="1"/>
  <c r="I70" i="1" s="1"/>
  <c r="Q70" i="1"/>
  <c r="W16" i="1"/>
  <c r="C37" i="4"/>
  <c r="C44" i="4"/>
  <c r="B44" i="4"/>
  <c r="B37" i="4"/>
  <c r="D44" i="4"/>
  <c r="D37" i="4"/>
  <c r="U70" i="1"/>
  <c r="W59" i="1"/>
  <c r="W61" i="1" s="1"/>
  <c r="Y40" i="1"/>
  <c r="Q10" i="5"/>
  <c r="Q11" i="5"/>
  <c r="Q33" i="5"/>
  <c r="T43" i="5"/>
  <c r="L50" i="5"/>
  <c r="U50" i="5"/>
  <c r="Y55" i="5"/>
  <c r="J10" i="5"/>
  <c r="U10" i="5"/>
  <c r="W10" i="5" s="1"/>
  <c r="L11" i="5"/>
  <c r="R11" i="5"/>
  <c r="N13" i="5"/>
  <c r="J15" i="5"/>
  <c r="K15" i="5" s="1"/>
  <c r="Q15" i="5"/>
  <c r="S15" i="5" s="1"/>
  <c r="M30" i="5"/>
  <c r="Q32" i="5"/>
  <c r="T33" i="5"/>
  <c r="R33" i="5"/>
  <c r="J38" i="5"/>
  <c r="N38" i="5"/>
  <c r="N43" i="5"/>
  <c r="J50" i="5"/>
  <c r="M50" i="5"/>
  <c r="R47" i="5"/>
  <c r="Q51" i="5"/>
  <c r="T51" i="5"/>
  <c r="W56" i="5"/>
  <c r="Y56" i="5"/>
  <c r="L10" i="5"/>
  <c r="V10" i="5"/>
  <c r="M11" i="5"/>
  <c r="T11" i="5"/>
  <c r="W11" i="5" s="1"/>
  <c r="T13" i="5"/>
  <c r="L15" i="5"/>
  <c r="T15" i="5"/>
  <c r="I30" i="5"/>
  <c r="K30" i="5" s="1"/>
  <c r="M32" i="5"/>
  <c r="T30" i="5"/>
  <c r="U33" i="5"/>
  <c r="M33" i="5"/>
  <c r="O33" i="5" s="1"/>
  <c r="O39" i="5"/>
  <c r="P38" i="5"/>
  <c r="S39" i="5"/>
  <c r="P43" i="5"/>
  <c r="I51" i="5"/>
  <c r="M47" i="5"/>
  <c r="M51" i="5"/>
  <c r="R49" i="5"/>
  <c r="R51" i="5"/>
  <c r="T47" i="5"/>
  <c r="U51" i="5"/>
  <c r="V49" i="5"/>
  <c r="Y14" i="5"/>
  <c r="X14" i="1"/>
  <c r="Y14" i="1" s="1"/>
  <c r="K13" i="5"/>
  <c r="N15" i="5"/>
  <c r="U15" i="5"/>
  <c r="W33" i="5"/>
  <c r="J30" i="5"/>
  <c r="P30" i="5"/>
  <c r="U30" i="5"/>
  <c r="P33" i="5"/>
  <c r="S33" i="5" s="1"/>
  <c r="N33" i="5"/>
  <c r="I43" i="5"/>
  <c r="Q38" i="5"/>
  <c r="Q43" i="5"/>
  <c r="V42" i="5"/>
  <c r="I47" i="5"/>
  <c r="K47" i="5" s="1"/>
  <c r="J51" i="5"/>
  <c r="N47" i="5"/>
  <c r="O47" i="5" s="1"/>
  <c r="N51" i="5"/>
  <c r="P47" i="5"/>
  <c r="P50" i="5"/>
  <c r="U47" i="5"/>
  <c r="O57" i="5"/>
  <c r="S57" i="5"/>
  <c r="W57" i="5"/>
  <c r="Y57" i="5" s="1"/>
  <c r="X54" i="1"/>
  <c r="Y54" i="1" s="1"/>
  <c r="K53" i="5"/>
  <c r="S53" i="5"/>
  <c r="W53" i="5"/>
  <c r="Y53" i="5" s="1"/>
  <c r="X57" i="1"/>
  <c r="Y57" i="1" s="1"/>
  <c r="Y21" i="5"/>
  <c r="S27" i="5"/>
  <c r="D62" i="5"/>
  <c r="D64" i="5" s="1"/>
  <c r="X22" i="1"/>
  <c r="Y22" i="1" s="1"/>
  <c r="Y26" i="5"/>
  <c r="O27" i="5"/>
  <c r="X55" i="1"/>
  <c r="Y55" i="1" s="1"/>
  <c r="X21" i="1"/>
  <c r="Y21" i="1" s="1"/>
  <c r="X25" i="1"/>
  <c r="Y25" i="1" s="1"/>
  <c r="X56" i="1"/>
  <c r="Y56" i="1" s="1"/>
  <c r="H61" i="5"/>
  <c r="H62" i="5" s="1"/>
  <c r="H64" i="5" s="1"/>
  <c r="X12" i="1"/>
  <c r="Y12" i="1" s="1"/>
  <c r="K7" i="5"/>
  <c r="X23" i="1"/>
  <c r="Y23" i="1" s="1"/>
  <c r="Y24" i="5"/>
  <c r="X52" i="1"/>
  <c r="Y52" i="1" s="1"/>
  <c r="Y40" i="5"/>
  <c r="Y54" i="5"/>
  <c r="P9" i="5"/>
  <c r="U9" i="5"/>
  <c r="W9" i="5" s="1"/>
  <c r="J31" i="5"/>
  <c r="J34" i="5"/>
  <c r="L31" i="5"/>
  <c r="N34" i="5"/>
  <c r="P31" i="5"/>
  <c r="R34" i="5"/>
  <c r="T31" i="5"/>
  <c r="V34" i="5"/>
  <c r="L41" i="5"/>
  <c r="R41" i="5"/>
  <c r="U41" i="5"/>
  <c r="J48" i="5"/>
  <c r="J59" i="5" s="1"/>
  <c r="N48" i="5"/>
  <c r="Q48" i="5"/>
  <c r="R58" i="5"/>
  <c r="U48" i="5"/>
  <c r="M7" i="5"/>
  <c r="R7" i="5"/>
  <c r="P8" i="5"/>
  <c r="U8" i="5"/>
  <c r="L9" i="5"/>
  <c r="Q9" i="5"/>
  <c r="P13" i="5"/>
  <c r="U13" i="5"/>
  <c r="I32" i="5"/>
  <c r="M31" i="5"/>
  <c r="N32" i="5"/>
  <c r="Q31" i="5"/>
  <c r="Q35" i="5" s="1"/>
  <c r="R32" i="5"/>
  <c r="U31" i="5"/>
  <c r="V32" i="5"/>
  <c r="W32" i="5" s="1"/>
  <c r="I41" i="5"/>
  <c r="M41" i="5"/>
  <c r="M44" i="5" s="1"/>
  <c r="N42" i="5"/>
  <c r="P42" i="5"/>
  <c r="S42" i="5" s="1"/>
  <c r="V41" i="5"/>
  <c r="V44" i="5" s="1"/>
  <c r="I49" i="5"/>
  <c r="I58" i="5"/>
  <c r="L49" i="5"/>
  <c r="L58" i="5"/>
  <c r="R48" i="5"/>
  <c r="T49" i="5"/>
  <c r="T58" i="5"/>
  <c r="V48" i="5"/>
  <c r="K31" i="5"/>
  <c r="N7" i="5"/>
  <c r="T7" i="5"/>
  <c r="L8" i="5"/>
  <c r="Q8" i="5"/>
  <c r="M9" i="5"/>
  <c r="R9" i="5"/>
  <c r="M10" i="5"/>
  <c r="R10" i="5"/>
  <c r="L13" i="5"/>
  <c r="Q13" i="5"/>
  <c r="V13" i="5"/>
  <c r="J32" i="5"/>
  <c r="N31" i="5"/>
  <c r="L34" i="5"/>
  <c r="R31" i="5"/>
  <c r="P34" i="5"/>
  <c r="V31" i="5"/>
  <c r="T34" i="5"/>
  <c r="J41" i="5"/>
  <c r="J44" i="5" s="1"/>
  <c r="J43" i="5"/>
  <c r="K43" i="5" s="1"/>
  <c r="N41" i="5"/>
  <c r="L43" i="5"/>
  <c r="O43" i="5" s="1"/>
  <c r="P41" i="5"/>
  <c r="Q42" i="5"/>
  <c r="R43" i="5"/>
  <c r="T42" i="5"/>
  <c r="W42" i="5" s="1"/>
  <c r="U43" i="5"/>
  <c r="W43" i="5" s="1"/>
  <c r="J49" i="5"/>
  <c r="J58" i="5"/>
  <c r="L48" i="5"/>
  <c r="M49" i="5"/>
  <c r="N50" i="5"/>
  <c r="M58" i="5"/>
  <c r="P49" i="5"/>
  <c r="S49" i="5" s="1"/>
  <c r="Q50" i="5"/>
  <c r="P58" i="5"/>
  <c r="U49" i="5"/>
  <c r="U58" i="5"/>
  <c r="V51" i="5"/>
  <c r="V47" i="5"/>
  <c r="K34" i="5"/>
  <c r="K9" i="5"/>
  <c r="P7" i="5"/>
  <c r="M8" i="5"/>
  <c r="N9" i="5"/>
  <c r="I10" i="5"/>
  <c r="N10" i="5"/>
  <c r="P11" i="5"/>
  <c r="S11" i="5" s="1"/>
  <c r="M13" i="5"/>
  <c r="M15" i="5"/>
  <c r="I34" i="5"/>
  <c r="N30" i="5"/>
  <c r="L32" i="5"/>
  <c r="O32" i="5" s="1"/>
  <c r="M34" i="5"/>
  <c r="R30" i="5"/>
  <c r="P32" i="5"/>
  <c r="S32" i="5" s="1"/>
  <c r="Q34" i="5"/>
  <c r="I38" i="5"/>
  <c r="I42" i="5"/>
  <c r="K42" i="5" s="1"/>
  <c r="L38" i="5"/>
  <c r="L42" i="5"/>
  <c r="O42" i="5" s="1"/>
  <c r="R38" i="5"/>
  <c r="Q41" i="5"/>
  <c r="R42" i="5"/>
  <c r="T38" i="5"/>
  <c r="I48" i="5"/>
  <c r="I50" i="5"/>
  <c r="K50" i="5" s="1"/>
  <c r="M48" i="5"/>
  <c r="N49" i="5"/>
  <c r="N58" i="5"/>
  <c r="P48" i="5"/>
  <c r="R50" i="5"/>
  <c r="Q58" i="5"/>
  <c r="T50" i="5"/>
  <c r="X24" i="1"/>
  <c r="Y24" i="1" s="1"/>
  <c r="Y25" i="5"/>
  <c r="W27" i="5"/>
  <c r="Y23" i="5"/>
  <c r="Y22" i="5"/>
  <c r="X20" i="1"/>
  <c r="Y20" i="1" s="1"/>
  <c r="X26" i="1"/>
  <c r="Y26" i="1" s="1"/>
  <c r="K27" i="5"/>
  <c r="Y20" i="5"/>
  <c r="O51" i="5" l="1"/>
  <c r="W50" i="5"/>
  <c r="O50" i="5"/>
  <c r="X39" i="1"/>
  <c r="Y39" i="1" s="1"/>
  <c r="N44" i="5"/>
  <c r="O15" i="5"/>
  <c r="U16" i="5"/>
  <c r="O11" i="5"/>
  <c r="Y11" i="5" s="1"/>
  <c r="O10" i="5"/>
  <c r="S8" i="5"/>
  <c r="Y33" i="5"/>
  <c r="B47" i="4"/>
  <c r="B50" i="4" s="1"/>
  <c r="B53" i="4"/>
  <c r="W41" i="5"/>
  <c r="W15" i="5"/>
  <c r="X15" i="1" s="1"/>
  <c r="Y15" i="1" s="1"/>
  <c r="C53" i="4"/>
  <c r="C47" i="4"/>
  <c r="C50" i="4" s="1"/>
  <c r="X11" i="1"/>
  <c r="Y11" i="1" s="1"/>
  <c r="S43" i="5"/>
  <c r="U35" i="5"/>
  <c r="S47" i="5"/>
  <c r="W30" i="5"/>
  <c r="J16" i="5"/>
  <c r="D47" i="4"/>
  <c r="D50" i="4" s="1"/>
  <c r="D53" i="4"/>
  <c r="Q44" i="5"/>
  <c r="W51" i="5"/>
  <c r="S10" i="5"/>
  <c r="Y39" i="5"/>
  <c r="X33" i="1"/>
  <c r="Y33" i="1" s="1"/>
  <c r="K51" i="5"/>
  <c r="S51" i="5"/>
  <c r="W62" i="1"/>
  <c r="W64" i="1" s="1"/>
  <c r="X53" i="1"/>
  <c r="Y53" i="1" s="1"/>
  <c r="Y27" i="5"/>
  <c r="K48" i="5"/>
  <c r="I59" i="5"/>
  <c r="K38" i="5"/>
  <c r="I44" i="5"/>
  <c r="K44" i="5" s="1"/>
  <c r="K10" i="5"/>
  <c r="I16" i="5"/>
  <c r="W13" i="5"/>
  <c r="U59" i="5"/>
  <c r="W48" i="5"/>
  <c r="W7" i="5"/>
  <c r="T16" i="5"/>
  <c r="W31" i="5"/>
  <c r="T35" i="5"/>
  <c r="O48" i="5"/>
  <c r="L59" i="5"/>
  <c r="S41" i="5"/>
  <c r="P44" i="5"/>
  <c r="O58" i="5"/>
  <c r="W38" i="5"/>
  <c r="T44" i="5"/>
  <c r="O34" i="5"/>
  <c r="W58" i="5"/>
  <c r="O49" i="5"/>
  <c r="S13" i="5"/>
  <c r="O31" i="5"/>
  <c r="L35" i="5"/>
  <c r="M59" i="5"/>
  <c r="O38" i="5"/>
  <c r="L44" i="5"/>
  <c r="O44" i="5" s="1"/>
  <c r="O30" i="5"/>
  <c r="N35" i="5"/>
  <c r="O13" i="5"/>
  <c r="W49" i="5"/>
  <c r="T59" i="5"/>
  <c r="R16" i="5"/>
  <c r="S38" i="5"/>
  <c r="R44" i="5"/>
  <c r="O8" i="5"/>
  <c r="L16" i="5"/>
  <c r="K41" i="5"/>
  <c r="W34" i="5"/>
  <c r="U44" i="5"/>
  <c r="S9" i="5"/>
  <c r="V16" i="5"/>
  <c r="W47" i="5"/>
  <c r="V59" i="5"/>
  <c r="S58" i="5"/>
  <c r="V35" i="5"/>
  <c r="N16" i="5"/>
  <c r="K58" i="5"/>
  <c r="M35" i="5"/>
  <c r="Q59" i="5"/>
  <c r="S48" i="5"/>
  <c r="P59" i="5"/>
  <c r="X42" i="1"/>
  <c r="Y42" i="1" s="1"/>
  <c r="Y42" i="5"/>
  <c r="S30" i="5"/>
  <c r="R35" i="5"/>
  <c r="S7" i="5"/>
  <c r="P16" i="5"/>
  <c r="S50" i="5"/>
  <c r="X43" i="1"/>
  <c r="Y43" i="1" s="1"/>
  <c r="Y43" i="5"/>
  <c r="S34" i="5"/>
  <c r="X34" i="1" s="1"/>
  <c r="Y34" i="1" s="1"/>
  <c r="Q16" i="5"/>
  <c r="R59" i="5"/>
  <c r="K49" i="5"/>
  <c r="K32" i="5"/>
  <c r="I35" i="5"/>
  <c r="O9" i="5"/>
  <c r="X9" i="1" s="1"/>
  <c r="Y9" i="1" s="1"/>
  <c r="M16" i="5"/>
  <c r="N59" i="5"/>
  <c r="N61" i="5" s="1"/>
  <c r="O41" i="5"/>
  <c r="S31" i="5"/>
  <c r="X31" i="1" s="1"/>
  <c r="Y31" i="1" s="1"/>
  <c r="P35" i="5"/>
  <c r="J35" i="5"/>
  <c r="J61" i="5" s="1"/>
  <c r="W8" i="5"/>
  <c r="X8" i="1" s="1"/>
  <c r="Y8" i="1" s="1"/>
  <c r="O7" i="5"/>
  <c r="X27" i="1"/>
  <c r="Y27" i="1" s="1"/>
  <c r="Y50" i="5" l="1"/>
  <c r="Q61" i="5"/>
  <c r="Q62" i="5" s="1"/>
  <c r="Q64" i="5" s="1"/>
  <c r="Y34" i="5"/>
  <c r="Y30" i="5"/>
  <c r="Y15" i="5"/>
  <c r="K16" i="5"/>
  <c r="J62" i="5"/>
  <c r="J64" i="5" s="1"/>
  <c r="N62" i="5"/>
  <c r="N64" i="5" s="1"/>
  <c r="Y31" i="5"/>
  <c r="X7" i="1"/>
  <c r="Y7" i="1" s="1"/>
  <c r="O35" i="5"/>
  <c r="Y8" i="5"/>
  <c r="Y51" i="5"/>
  <c r="X51" i="1"/>
  <c r="Y51" i="1" s="1"/>
  <c r="S35" i="5"/>
  <c r="Y9" i="5"/>
  <c r="S44" i="5"/>
  <c r="W44" i="5"/>
  <c r="Y44" i="5" s="1"/>
  <c r="X32" i="1"/>
  <c r="Y32" i="5"/>
  <c r="Y47" i="5"/>
  <c r="X47" i="1"/>
  <c r="Y47" i="1" s="1"/>
  <c r="W59" i="5"/>
  <c r="T61" i="5"/>
  <c r="T62" i="5" s="1"/>
  <c r="T64" i="5" s="1"/>
  <c r="X50" i="1"/>
  <c r="W35" i="5"/>
  <c r="Y13" i="5"/>
  <c r="X48" i="1"/>
  <c r="Y48" i="1" s="1"/>
  <c r="Y48" i="5"/>
  <c r="Y7" i="5"/>
  <c r="X38" i="1"/>
  <c r="Y38" i="5"/>
  <c r="X49" i="1"/>
  <c r="Y49" i="1" s="1"/>
  <c r="Y49" i="5"/>
  <c r="I61" i="5"/>
  <c r="I62" i="5" s="1"/>
  <c r="I64" i="5" s="1"/>
  <c r="K59" i="5"/>
  <c r="R61" i="5"/>
  <c r="R62" i="5" s="1"/>
  <c r="R64" i="5" s="1"/>
  <c r="X30" i="1"/>
  <c r="Y30" i="1" s="1"/>
  <c r="X41" i="1"/>
  <c r="Y41" i="1" s="1"/>
  <c r="Y41" i="5"/>
  <c r="X13" i="1"/>
  <c r="Y13" i="1" s="1"/>
  <c r="X10" i="1"/>
  <c r="Y10" i="1" s="1"/>
  <c r="Y10" i="5"/>
  <c r="K35" i="5"/>
  <c r="S16" i="5"/>
  <c r="S59" i="5"/>
  <c r="P61" i="5"/>
  <c r="P62" i="5" s="1"/>
  <c r="P64" i="5" s="1"/>
  <c r="Y58" i="5"/>
  <c r="X58" i="1"/>
  <c r="Y58" i="1" s="1"/>
  <c r="V61" i="5"/>
  <c r="V62" i="5" s="1"/>
  <c r="V64" i="5" s="1"/>
  <c r="O16" i="5"/>
  <c r="M61" i="5"/>
  <c r="M62" i="5" s="1"/>
  <c r="M64" i="5" s="1"/>
  <c r="O59" i="5"/>
  <c r="L61" i="5"/>
  <c r="L62" i="5" s="1"/>
  <c r="L64" i="5" s="1"/>
  <c r="W16" i="5"/>
  <c r="U61" i="5"/>
  <c r="U62" i="5" s="1"/>
  <c r="U64" i="5" s="1"/>
  <c r="S61" i="5" l="1"/>
  <c r="S62" i="5" s="1"/>
  <c r="S64" i="5" s="1"/>
  <c r="Y35" i="5"/>
  <c r="O61" i="5"/>
  <c r="O62" i="5" s="1"/>
  <c r="O64" i="5" s="1"/>
  <c r="W61" i="5"/>
  <c r="W62" i="5" s="1"/>
  <c r="W64" i="5" s="1"/>
  <c r="Y16" i="5"/>
  <c r="Y38" i="1"/>
  <c r="X44" i="1"/>
  <c r="Y44" i="1" s="1"/>
  <c r="X35" i="1"/>
  <c r="Y35" i="1" s="1"/>
  <c r="Y32" i="1"/>
  <c r="Y59" i="5"/>
  <c r="K61" i="5"/>
  <c r="X59" i="1"/>
  <c r="Y50" i="1"/>
  <c r="X16" i="1"/>
  <c r="Y59" i="1" l="1"/>
  <c r="X61" i="1"/>
  <c r="Y61" i="1" s="1"/>
  <c r="Y16" i="1"/>
  <c r="Y61" i="5"/>
  <c r="K62" i="5"/>
  <c r="X62" i="1" l="1"/>
  <c r="Y62" i="1" s="1"/>
  <c r="Y62" i="5"/>
  <c r="K64" i="5"/>
  <c r="Y64" i="5" s="1"/>
  <c r="X64" i="1" l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Whitney Jones</author>
  </authors>
  <commentList>
    <comment ref="B4" authorId="0" shapeId="0" xr:uid="{61C7C70B-34D3-E94F-814B-8EBFA5FC9498}">
      <text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per Q4 FY18 per pupil funding payment</t>
        </r>
      </text>
    </comment>
    <comment ref="C4" authorId="1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James Loi</author>
  </authors>
  <commentList>
    <comment ref="B10" authorId="0" shapeId="0" xr:uid="{FA0618A9-FEBA-A44D-99E1-7B7A0D0E2FE6}">
      <text>
        <r>
          <rPr>
            <sz val="10"/>
            <color rgb="FF000000"/>
            <rFont val="Tahoma"/>
            <family val="2"/>
          </rPr>
          <t xml:space="preserve"> all 4100 accounts</t>
        </r>
      </text>
    </comment>
    <comment ref="B11" authorId="0" shapeId="0" xr:uid="{F3FBFE14-3D6D-A04F-8D56-10B0D8902056}">
      <text>
        <r>
          <rPr>
            <sz val="10"/>
            <color rgb="FF000000"/>
            <rFont val="Tahoma"/>
            <family val="2"/>
          </rPr>
          <t xml:space="preserve">local state grants
</t>
        </r>
        <r>
          <rPr>
            <sz val="10"/>
            <color rgb="FF000000"/>
            <rFont val="Tahoma"/>
            <family val="2"/>
          </rPr>
          <t xml:space="preserve">account 4030
</t>
        </r>
      </text>
    </comment>
    <comment ref="B12" authorId="0" shapeId="0" xr:uid="{0DBE5D1A-6A6E-AF47-937C-A857D2E07142}">
      <text>
        <r>
          <rPr>
            <sz val="10"/>
            <color rgb="FF000000"/>
            <rFont val="Tahoma"/>
            <family val="2"/>
          </rPr>
          <t xml:space="preserve">all 4200 accounts
</t>
        </r>
        <r>
          <rPr>
            <sz val="10"/>
            <color rgb="FF000000"/>
            <rFont val="Tahoma"/>
            <family val="2"/>
          </rPr>
          <t xml:space="preserve">account 4910
</t>
        </r>
      </text>
    </comment>
    <comment ref="B13" authorId="0" shapeId="0" xr:uid="{D7D55A75-1075-1D48-B7F8-D3C349B65085}">
      <text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account 4920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15" authorId="0" shapeId="0" xr:uid="{6BFF8AF7-D918-164A-8634-C5C43400C105}">
      <text>
        <r>
          <rPr>
            <sz val="10"/>
            <color rgb="FF000000"/>
            <rFont val="Tahoma"/>
            <family val="2"/>
          </rPr>
          <t>account 4930</t>
        </r>
      </text>
    </comment>
    <comment ref="B20" authorId="1" shapeId="0" xr:uid="{2EE6D101-C637-894E-AF18-1248AAEA538F}">
      <text>
        <r>
          <rPr>
            <sz val="10"/>
            <color rgb="FF000000"/>
            <rFont val="Tahoma"/>
            <family val="2"/>
          </rPr>
          <t>acct 5005: principals/APs</t>
        </r>
      </text>
    </comment>
    <comment ref="B21" authorId="1" shapeId="0" xr:uid="{C124526C-8318-5446-A857-0E7A8C0C10EF}">
      <text>
        <r>
          <rPr>
            <sz val="10"/>
            <color rgb="FF000000"/>
            <rFont val="Tahoma"/>
            <family val="2"/>
          </rPr>
          <t>gen ed teachers and IAs</t>
        </r>
      </text>
    </comment>
    <comment ref="B22" authorId="1" shapeId="0" xr:uid="{01A70E55-0868-2149-B73F-55DDC57E2093}">
      <text>
        <r>
          <rPr>
            <sz val="10"/>
            <color rgb="FF000000"/>
            <rFont val="Tahoma"/>
            <family val="2"/>
          </rPr>
          <t xml:space="preserve">SPED teachers
</t>
        </r>
        <r>
          <rPr>
            <sz val="10"/>
            <color rgb="FF000000"/>
            <rFont val="Tahoma"/>
            <family val="2"/>
          </rPr>
          <t xml:space="preserve">ELL teachers
</t>
        </r>
        <r>
          <rPr>
            <sz val="10"/>
            <color rgb="FF000000"/>
            <rFont val="Tahoma"/>
            <family val="2"/>
          </rPr>
          <t xml:space="preserve">DAs
</t>
        </r>
        <r>
          <rPr>
            <sz val="10"/>
            <color rgb="FF000000"/>
            <rFont val="Tahoma"/>
            <family val="2"/>
          </rPr>
          <t>SPED IAs</t>
        </r>
      </text>
    </comment>
    <comment ref="B23" authorId="1" shapeId="0" xr:uid="{D024CA36-AEBF-824F-BE0B-2545E18967B7}">
      <text>
        <r>
          <rPr>
            <sz val="10"/>
            <color rgb="FF000000"/>
            <rFont val="Tahoma"/>
            <family val="2"/>
          </rPr>
          <t xml:space="preserve">couns/interv 10 mo
</t>
        </r>
        <r>
          <rPr>
            <sz val="10"/>
            <color rgb="FF000000"/>
            <rFont val="Tahoma"/>
            <family val="2"/>
          </rPr>
          <t xml:space="preserve">OT/PT/SPED coord/LA coord 10 mo
</t>
        </r>
        <r>
          <rPr>
            <sz val="10"/>
            <color rgb="FF000000"/>
            <rFont val="Tahoma"/>
            <family val="2"/>
          </rPr>
          <t xml:space="preserve">Curr/FE/LM 12 mo
</t>
        </r>
        <r>
          <rPr>
            <sz val="10"/>
            <color rgb="FF000000"/>
            <rFont val="Tahoma"/>
            <family val="2"/>
          </rPr>
          <t>Dir SPED/ESL M  12 mo</t>
        </r>
      </text>
    </comment>
    <comment ref="B25" authorId="1" shapeId="0" xr:uid="{033BA1D6-F7EA-5F4A-94B6-EE1AA93BA2CA}">
      <text>
        <r>
          <rPr>
            <sz val="10"/>
            <color rgb="FF000000"/>
            <rFont val="Tahoma"/>
            <family val="2"/>
          </rPr>
          <t xml:space="preserve">accts 5030-5055
</t>
        </r>
        <r>
          <rPr>
            <sz val="10"/>
            <color rgb="FF000000"/>
            <rFont val="Tahoma"/>
            <family val="2"/>
          </rPr>
          <t xml:space="preserve">admin 12 mo
</t>
        </r>
        <r>
          <rPr>
            <sz val="10"/>
            <color rgb="FF000000"/>
            <rFont val="Tahoma"/>
            <family val="2"/>
          </rPr>
          <t xml:space="preserve">meals 10 mo
</t>
        </r>
        <r>
          <rPr>
            <sz val="10"/>
            <color rgb="FF000000"/>
            <rFont val="Tahoma"/>
            <family val="2"/>
          </rPr>
          <t xml:space="preserve">BCAC 10 mo
</t>
        </r>
        <r>
          <rPr>
            <sz val="10"/>
            <color rgb="FF000000"/>
            <rFont val="Tahoma"/>
            <family val="2"/>
          </rPr>
          <t xml:space="preserve">bus drivers 10 mo
</t>
        </r>
        <r>
          <rPr>
            <sz val="10"/>
            <color rgb="FF000000"/>
            <rFont val="Tahoma"/>
            <family val="2"/>
          </rPr>
          <t xml:space="preserve">intern 10 mo
</t>
        </r>
        <r>
          <rPr>
            <sz val="10"/>
            <color rgb="FF000000"/>
            <rFont val="Tahoma"/>
            <family val="2"/>
          </rPr>
          <t xml:space="preserve">ESL ATB 10 mo
</t>
        </r>
        <r>
          <rPr>
            <sz val="10"/>
            <color rgb="FF000000"/>
            <rFont val="Tahoma"/>
            <family val="2"/>
          </rPr>
          <t xml:space="preserve">stipends summer Jul only
</t>
        </r>
        <r>
          <rPr>
            <sz val="10"/>
            <color rgb="FF000000"/>
            <rFont val="Tahoma"/>
            <family val="2"/>
          </rPr>
          <t xml:space="preserve">stipends other Dec/Jun
</t>
        </r>
        <r>
          <rPr>
            <sz val="10"/>
            <color rgb="FF000000"/>
            <rFont val="Tahoma"/>
            <family val="2"/>
          </rPr>
          <t xml:space="preserve">subs 10 mo
</t>
        </r>
        <r>
          <rPr>
            <sz val="10"/>
            <color rgb="FF000000"/>
            <rFont val="Tahoma"/>
            <family val="2"/>
          </rPr>
          <t xml:space="preserve">contracted staff 10 mo
</t>
        </r>
        <r>
          <rPr>
            <sz val="10"/>
            <color rgb="FF000000"/>
            <rFont val="Tahoma"/>
            <family val="2"/>
          </rPr>
          <t>bonus Dec/Jun</t>
        </r>
      </text>
    </comment>
    <comment ref="F25" authorId="1" shapeId="0" xr:uid="{02A2B89A-595C-DD44-B63E-1D54F18F5470}">
      <text>
        <r>
          <rPr>
            <sz val="10"/>
            <color rgb="FF000000"/>
            <rFont val="Tahoma"/>
            <family val="2"/>
          </rPr>
          <t xml:space="preserve">39 part time - before/after care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26" authorId="1" shapeId="0" xr:uid="{EBB6D366-BC91-C044-A037-F6E126731E5F}">
      <text>
        <r>
          <rPr>
            <sz val="10"/>
            <color rgb="FF000000"/>
            <rFont val="Tahoma"/>
            <family val="2"/>
          </rPr>
          <t xml:space="preserve">acct 5105-5135
</t>
        </r>
        <r>
          <rPr>
            <sz val="10"/>
            <color rgb="FF000000"/>
            <rFont val="Tahoma"/>
            <family val="2"/>
          </rPr>
          <t xml:space="preserve">acct 5150
</t>
        </r>
      </text>
    </comment>
    <comment ref="B30" authorId="0" shapeId="0" xr:uid="{FAD9D92F-1125-324C-85D5-9DB8B72183D0}">
      <text>
        <r>
          <rPr>
            <sz val="10"/>
            <color rgb="FF000000"/>
            <rFont val="Tahoma"/>
            <family val="2"/>
          </rPr>
          <t>account 5210 and 5220</t>
        </r>
      </text>
    </comment>
    <comment ref="B34" authorId="0" shapeId="0" xr:uid="{CEFF39A0-B6C5-304F-B59E-ACF2D970D5C1}">
      <text>
        <r>
          <rPr>
            <sz val="10"/>
            <color rgb="FF000000"/>
            <rFont val="Tahoma"/>
            <family val="2"/>
          </rPr>
          <t xml:space="preserve">account 5215, 5235, 5290
</t>
        </r>
      </text>
    </comment>
    <comment ref="B53" authorId="1" shapeId="0" xr:uid="{BE2F36F8-6F03-6544-BEEB-86134DFA3001}">
      <text>
        <r>
          <rPr>
            <sz val="10"/>
            <color rgb="FF000000"/>
            <rFont val="Tahoma"/>
            <family val="2"/>
          </rPr>
          <t xml:space="preserve">acct 5141-5144
</t>
        </r>
      </text>
    </comment>
    <comment ref="B58" authorId="1" shapeId="0" xr:uid="{F846DBAF-B531-B447-A30C-6635D328927B}">
      <text>
        <r>
          <rPr>
            <sz val="10"/>
            <color rgb="FF000000"/>
            <rFont val="Tahoma"/>
            <family val="2"/>
          </rPr>
          <t>Accts 5405, 5415,  5425-5450, 5460, 5470-5410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<sst xmlns="http://schemas.openxmlformats.org/spreadsheetml/2006/main" count="283" uniqueCount="189">
  <si>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</si>
  <si>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</si>
  <si>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</si>
  <si>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</si>
  <si>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</si>
  <si>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</si>
  <si>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</si>
  <si>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</si>
  <si>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</si>
  <si>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</si>
  <si>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</si>
  <si>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</si>
  <si>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</si>
  <si>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</si>
  <si>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</si>
  <si>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</si>
  <si>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</si>
  <si>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</si>
  <si>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</si>
  <si>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</si>
  <si>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</si>
  <si>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</si>
  <si>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</si>
  <si>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</si>
  <si>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</si>
  <si>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</si>
  <si>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</si>
  <si>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</si>
  <si>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</si>
  <si>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</si>
  <si>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</si>
  <si>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</si>
  <si>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</si>
  <si>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</si>
  <si>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</si>
  <si>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</si>
  <si>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</si>
  <si>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</si>
  <si>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</si>
  <si>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</si>
  <si>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</si>
  <si>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</si>
  <si>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</si>
  <si>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</si>
  <si>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</si>
  <si>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</si>
  <si>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</si>
  <si>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</si>
  <si>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</si>
  <si>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</si>
  <si>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</si>
  <si>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</si>
  <si>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</si>
  <si>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</si>
  <si>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</si>
  <si>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</si>
  <si>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</si>
  <si>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</si>
  <si>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</si>
  <si>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</si>
  <si>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</si>
  <si>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</si>
  <si>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</si>
  <si>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</si>
  <si>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</si>
  <si>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</si>
  <si>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</si>
  <si>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</si>
  <si>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</si>
  <si>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</si>
  <si>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</si>
  <si>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</si>
  <si>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</si>
  <si>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</si>
  <si>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</si>
  <si>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</si>
  <si>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</si>
  <si>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</si>
  <si>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</si>
  <si>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</si>
  <si>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</si>
  <si>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</si>
  <si>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</si>
  <si>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</si>
  <si>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</si>
  <si>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</si>
  <si>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</si>
  <si>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</si>
  <si>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</si>
  <si>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</si>
  <si>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</si>
  <si>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</si>
  <si>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</si>
  <si>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</si>
  <si>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</si>
  <si>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</si>
  <si>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</si>
  <si>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</si>
  <si>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</si>
  <si>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</si>
  <si>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</si>
  <si>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</si>
  <si>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</si>
  <si>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</si>
  <si>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</si>
  <si>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</si>
  <si>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</si>
  <si>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</si>
  <si>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</si>
  <si>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</si>
  <si>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</si>
  <si>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</si>
  <si>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</si>
  <si>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</si>
  <si>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</si>
  <si>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</si>
  <si>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</si>
  <si>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</si>
  <si>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</si>
  <si>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</si>
  <si>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</si>
  <si>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</si>
  <si>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</si>
  <si>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</si>
  <si>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</si>
  <si>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</si>
  <si>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</si>
  <si>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</si>
  <si>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</si>
  <si>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</si>
  <si>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</si>
  <si>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</si>
  <si>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</si>
  <si>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</si>
  <si>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</si>
  <si>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</si>
  <si>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</si>
  <si>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</si>
  <si>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</si>
  <si>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</si>
  <si>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</si>
  <si>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</si>
  <si>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</si>
  <si>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</si>
  <si>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</si>
  <si>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</si>
  <si>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</si>
  <si>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</si>
  <si>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</si>
  <si>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</si>
  <si>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</si>
  <si>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</si>
  <si>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</si>
  <si>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</si>
  <si>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</si>
  <si>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</si>
  <si>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</si>
  <si>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</si>
  <si>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</si>
  <si>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</si>
  <si>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</si>
  <si>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</si>
  <si>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</si>
  <si>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</si>
  <si>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</si>
  <si>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</si>
  <si>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</si>
  <si>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</si>
  <si>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</si>
  <si>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</si>
  <si>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</si>
  <si>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</si>
  <si>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</si>
  <si>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</si>
  <si>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</si>
  <si>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</si>
  <si>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</si>
  <si>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</si>
  <si>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</si>
  <si>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</si>
  <si>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</si>
  <si>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</si>
  <si>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</si>
  <si>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</si>
  <si>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Center City Public Charter Schools</t>
  </si>
  <si>
    <t>Jennifer Loi</t>
  </si>
  <si>
    <t>jloi@centercitypcs.org</t>
  </si>
  <si>
    <t>202-589-0202</t>
  </si>
  <si>
    <t>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</si>
</sst>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0_);[Red]\(#,##0.0000\)"/>
    <numFmt numFmtId="169" formatCode="0.0000%"/>
    <numFmt numFmtId="170" formatCode="#,##0.00\d_);[Red]\(#,##0.00\d\)"/>
    <numFmt numFmtId="171" formatCode="#,##0.00\x_);[Red]\(#,##0.00\x\)"/>
    <numFmt numFmtId="172" formatCode="#,##0.00%_);[Red]\(#,##0.00%\)"/>
    <numFmt numFmtId="173" formatCode="[$USD]\ #,##0.00_);[Red]\([$USD]\ #,##0.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8" fontId="36" fillId="0" borderId="0" applyFill="0" applyBorder="0" applyProtection="0"/>
    <xf numFmtId="169" fontId="36" fillId="0" borderId="0" applyFill="0" applyBorder="0" applyProtection="0"/>
    <xf numFmtId="170" fontId="37" fillId="0" borderId="0" applyFill="0" applyBorder="0" applyProtection="0"/>
    <xf numFmtId="171" fontId="37" fillId="0" borderId="0" applyFill="0" applyBorder="0" applyProtection="0"/>
    <xf numFmtId="40" fontId="37" fillId="0" borderId="0" applyFill="0" applyBorder="0" applyProtection="0"/>
    <xf numFmtId="172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0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1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2" fontId="36" fillId="0" borderId="0" applyFill="0" applyBorder="0" applyProtection="0"/>
    <xf numFmtId="0" fontId="36" fillId="0" borderId="0" applyNumberFormat="0" applyFill="0" applyBorder="0" applyProtection="0"/>
    <xf numFmtId="173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11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0" fontId="22" fillId="0" borderId="0" xfId="2" applyFont="1" applyBorder="1"/>
    <xf numFmtId="0" fontId="22" fillId="0" borderId="0" xfId="2" applyFont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>
      <alignment horizontal="left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70" fillId="61" borderId="0" xfId="980" applyFill="1"/>
    <xf numFmtId="0" fontId="63" fillId="61" borderId="0" xfId="0" applyFont="1" applyFill="1" applyAlignment="1">
      <alignment horizontal="left"/>
    </xf>
    <xf numFmtId="165" fontId="22" fillId="0" borderId="24" xfId="1" applyNumberFormat="1" applyFont="1" applyFill="1" applyBorder="1" applyAlignment="1">
      <alignment horizontal="center"/>
    </xf>
    <xf numFmtId="165" fontId="22" fillId="2" borderId="24" xfId="1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61" fillId="0" borderId="0" xfId="1" applyNumberFormat="1" applyFont="1" applyBorder="1"/>
    <xf numFmtId="165" fontId="3" fillId="0" borderId="0" xfId="1" applyNumberFormat="1" applyFont="1"/>
    <xf numFmtId="165" fontId="22" fillId="0" borderId="0" xfId="1" applyNumberFormat="1" applyFont="1" applyFill="1" applyBorder="1"/>
    <xf numFmtId="165" fontId="22" fillId="0" borderId="0" xfId="1" applyNumberFormat="1" applyFont="1" applyBorder="1"/>
    <xf numFmtId="165" fontId="22" fillId="0" borderId="1" xfId="1" applyNumberFormat="1" applyFont="1" applyBorder="1"/>
    <xf numFmtId="165" fontId="22" fillId="0" borderId="2" xfId="1" applyNumberFormat="1" applyFont="1" applyFill="1" applyBorder="1"/>
    <xf numFmtId="165" fontId="3" fillId="0" borderId="0" xfId="1" applyNumberFormat="1" applyFont="1" applyFill="1"/>
    <xf numFmtId="165" fontId="22" fillId="0" borderId="28" xfId="1" applyNumberFormat="1" applyFont="1" applyFill="1" applyBorder="1"/>
    <xf numFmtId="165" fontId="3" fillId="0" borderId="28" xfId="1" applyNumberFormat="1" applyFont="1" applyBorder="1"/>
    <xf numFmtId="0" fontId="3" fillId="0" borderId="0" xfId="2" applyFont="1" applyAlignment="1">
      <alignment horizontal="center"/>
    </xf>
    <xf numFmtId="165" fontId="61" fillId="0" borderId="2" xfId="1" applyNumberFormat="1" applyFont="1" applyBorder="1"/>
    <xf numFmtId="165" fontId="3" fillId="60" borderId="0" xfId="1" applyNumberFormat="1" applyFont="1" applyFill="1" applyAlignment="1" applyProtection="1">
      <alignment wrapText="1"/>
    </xf>
    <xf numFmtId="165" fontId="3" fillId="60" borderId="0" xfId="1" applyNumberFormat="1" applyFont="1" applyFill="1" applyAlignment="1" applyProtection="1"/>
    <xf numFmtId="165" fontId="22" fillId="60" borderId="23" xfId="1" applyNumberFormat="1" applyFont="1" applyFill="1" applyBorder="1" applyAlignment="1" applyProtection="1"/>
    <xf numFmtId="165" fontId="3" fillId="60" borderId="0" xfId="1" applyNumberFormat="1" applyFont="1" applyFill="1" applyBorder="1" applyAlignment="1" applyProtection="1">
      <alignment wrapText="1"/>
    </xf>
    <xf numFmtId="165" fontId="65" fillId="60" borderId="0" xfId="1" applyNumberFormat="1" applyFont="1" applyFill="1" applyBorder="1" applyAlignment="1" applyProtection="1">
      <alignment wrapText="1"/>
    </xf>
    <xf numFmtId="165" fontId="65" fillId="60" borderId="0" xfId="1" applyNumberFormat="1" applyFont="1" applyFill="1" applyAlignment="1" applyProtection="1">
      <alignment wrapText="1"/>
    </xf>
    <xf numFmtId="165" fontId="22" fillId="60" borderId="23" xfId="1" applyNumberFormat="1" applyFont="1" applyFill="1" applyBorder="1" applyAlignment="1" applyProtection="1">
      <alignment wrapText="1"/>
    </xf>
    <xf numFmtId="165" fontId="63" fillId="0" borderId="0" xfId="1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0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152400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oi@centercitypc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Normal="100" zoomScaleSheetLayoutView="100" workbookViewId="0">
      <selection activeCell="F37" sqref="F36:F37"/>
    </sheetView>
  </sheetViews>
  <sheetFormatPr baseColWidth="10" defaultColWidth="9.1640625" defaultRowHeight="13" x14ac:dyDescent="0.15"/>
  <cols>
    <col min="1" max="1" width="49.6640625" style="58" bestFit="1" customWidth="1"/>
    <col min="2" max="3" width="9.1640625" style="58"/>
    <col min="4" max="4" width="52.5" style="58" customWidth="1"/>
    <col min="5" max="16384" width="9.1640625" style="58"/>
  </cols>
  <sheetData>
    <row r="1" spans="1:1" x14ac:dyDescent="0.15">
      <c r="A1" s="57" t="s">
        <v>135</v>
      </c>
    </row>
    <row r="2" spans="1:1" x14ac:dyDescent="0.15">
      <c r="A2" s="59" t="s">
        <v>184</v>
      </c>
    </row>
    <row r="4" spans="1:1" x14ac:dyDescent="0.15">
      <c r="A4" s="59" t="s">
        <v>185</v>
      </c>
    </row>
    <row r="5" spans="1:1" ht="15" x14ac:dyDescent="0.2">
      <c r="A5" s="87" t="s">
        <v>186</v>
      </c>
    </row>
    <row r="6" spans="1:1" x14ac:dyDescent="0.15">
      <c r="A6" s="59" t="s">
        <v>187</v>
      </c>
    </row>
    <row r="8" spans="1:1" x14ac:dyDescent="0.15">
      <c r="A8" s="88" t="s">
        <v>188</v>
      </c>
    </row>
    <row r="9" spans="1:1" x14ac:dyDescent="0.15">
      <c r="A9" s="59" t="s">
        <v>136</v>
      </c>
    </row>
  </sheetData>
  <hyperlinks>
    <hyperlink ref="A5" r:id="rId1" xr:uid="{1B829A93-5CC2-4849-A245-F33FF6678929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15" zoomScaleNormal="115" zoomScaleSheetLayoutView="100" zoomScalePageLayoutView="115" workbookViewId="0">
      <selection activeCell="I17" sqref="I17"/>
    </sheetView>
  </sheetViews>
  <sheetFormatPr baseColWidth="10" defaultColWidth="7.5" defaultRowHeight="13" x14ac:dyDescent="0.15"/>
  <cols>
    <col min="1" max="1" width="31.5" style="3" customWidth="1"/>
    <col min="2" max="4" width="15.83203125" style="34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60" t="str">
        <f>'Cover Sheet'!A2</f>
        <v>Center City Public Charter Schools</v>
      </c>
    </row>
    <row r="2" spans="1:4" x14ac:dyDescent="0.15">
      <c r="A2" s="3" t="str">
        <f>'Cover Sheet'!A8&amp;" Enrollment Data"</f>
        <v>FY2020 Enrollment Data</v>
      </c>
    </row>
    <row r="3" spans="1:4" x14ac:dyDescent="0.15">
      <c r="A3" s="13"/>
      <c r="B3" s="14"/>
      <c r="C3" s="15"/>
      <c r="D3" s="15"/>
    </row>
    <row r="4" spans="1:4" ht="31.5" customHeight="1" x14ac:dyDescent="0.15">
      <c r="A4" s="112" t="s">
        <v>38</v>
      </c>
      <c r="B4" s="111" t="s">
        <v>81</v>
      </c>
      <c r="C4" s="111" t="s">
        <v>122</v>
      </c>
      <c r="D4" s="111" t="s">
        <v>121</v>
      </c>
    </row>
    <row r="5" spans="1:4" ht="16.5" customHeight="1" x14ac:dyDescent="0.15">
      <c r="A5" s="113"/>
      <c r="B5" s="111"/>
      <c r="C5" s="111"/>
      <c r="D5" s="111"/>
    </row>
    <row r="6" spans="1:4" ht="12.75" customHeight="1" x14ac:dyDescent="0.15">
      <c r="A6" s="8" t="s">
        <v>39</v>
      </c>
      <c r="B6" s="81">
        <v>86</v>
      </c>
      <c r="C6" s="81">
        <v>64</v>
      </c>
      <c r="D6" s="81"/>
    </row>
    <row r="7" spans="1:4" ht="12.75" customHeight="1" x14ac:dyDescent="0.15">
      <c r="A7" s="8" t="s">
        <v>40</v>
      </c>
      <c r="B7" s="81">
        <v>112</v>
      </c>
      <c r="C7" s="81">
        <v>104</v>
      </c>
      <c r="D7" s="81"/>
    </row>
    <row r="8" spans="1:4" ht="12.75" customHeight="1" x14ac:dyDescent="0.15">
      <c r="A8" s="8" t="s">
        <v>41</v>
      </c>
      <c r="B8" s="81">
        <v>122</v>
      </c>
      <c r="C8" s="81">
        <v>133</v>
      </c>
      <c r="D8" s="81"/>
    </row>
    <row r="9" spans="1:4" ht="12.75" customHeight="1" x14ac:dyDescent="0.15">
      <c r="A9" s="8" t="s">
        <v>42</v>
      </c>
      <c r="B9" s="81">
        <v>123</v>
      </c>
      <c r="C9" s="81">
        <v>134</v>
      </c>
      <c r="D9" s="81"/>
    </row>
    <row r="10" spans="1:4" ht="12.75" customHeight="1" x14ac:dyDescent="0.15">
      <c r="A10" s="8" t="s">
        <v>43</v>
      </c>
      <c r="B10" s="81">
        <v>143</v>
      </c>
      <c r="C10" s="81">
        <v>132</v>
      </c>
      <c r="D10" s="81"/>
    </row>
    <row r="11" spans="1:4" ht="12.75" customHeight="1" x14ac:dyDescent="0.15">
      <c r="A11" s="8" t="s">
        <v>44</v>
      </c>
      <c r="B11" s="81">
        <v>148</v>
      </c>
      <c r="C11" s="81">
        <v>147</v>
      </c>
      <c r="D11" s="81"/>
    </row>
    <row r="12" spans="1:4" ht="12.75" customHeight="1" x14ac:dyDescent="0.15">
      <c r="A12" s="8" t="s">
        <v>45</v>
      </c>
      <c r="B12" s="81">
        <v>156</v>
      </c>
      <c r="C12" s="81">
        <v>151</v>
      </c>
      <c r="D12" s="81"/>
    </row>
    <row r="13" spans="1:4" ht="12.75" customHeight="1" x14ac:dyDescent="0.15">
      <c r="A13" s="8" t="s">
        <v>46</v>
      </c>
      <c r="B13" s="81">
        <v>146</v>
      </c>
      <c r="C13" s="81">
        <v>154</v>
      </c>
      <c r="D13" s="81"/>
    </row>
    <row r="14" spans="1:4" ht="12.75" customHeight="1" x14ac:dyDescent="0.15">
      <c r="A14" s="9" t="s">
        <v>47</v>
      </c>
      <c r="B14" s="81">
        <v>148</v>
      </c>
      <c r="C14" s="81">
        <v>144</v>
      </c>
      <c r="D14" s="81"/>
    </row>
    <row r="15" spans="1:4" ht="12.75" customHeight="1" x14ac:dyDescent="0.15">
      <c r="A15" s="9" t="s">
        <v>48</v>
      </c>
      <c r="B15" s="81">
        <v>140</v>
      </c>
      <c r="C15" s="81">
        <v>148</v>
      </c>
      <c r="D15" s="81"/>
    </row>
    <row r="16" spans="1:4" ht="12.75" customHeight="1" x14ac:dyDescent="0.15">
      <c r="A16" s="9" t="s">
        <v>49</v>
      </c>
      <c r="B16" s="81">
        <v>133</v>
      </c>
      <c r="C16" s="81">
        <v>146</v>
      </c>
      <c r="D16" s="81"/>
    </row>
    <row r="17" spans="1:4" ht="12.75" customHeight="1" x14ac:dyDescent="0.15">
      <c r="A17" s="8" t="s">
        <v>50</v>
      </c>
      <c r="B17" s="81"/>
      <c r="C17" s="81"/>
      <c r="D17" s="81"/>
    </row>
    <row r="18" spans="1:4" ht="12.75" customHeight="1" x14ac:dyDescent="0.15">
      <c r="A18" s="8" t="s">
        <v>51</v>
      </c>
      <c r="B18" s="81"/>
      <c r="C18" s="81"/>
      <c r="D18" s="81"/>
    </row>
    <row r="19" spans="1:4" ht="12.75" customHeight="1" x14ac:dyDescent="0.15">
      <c r="A19" s="8" t="s">
        <v>52</v>
      </c>
      <c r="B19" s="81"/>
      <c r="C19" s="81"/>
      <c r="D19" s="81"/>
    </row>
    <row r="20" spans="1:4" ht="12.75" customHeight="1" x14ac:dyDescent="0.15">
      <c r="A20" s="8" t="s">
        <v>53</v>
      </c>
      <c r="B20" s="81"/>
      <c r="C20" s="81"/>
      <c r="D20" s="81"/>
    </row>
    <row r="21" spans="1:4" ht="12.75" customHeight="1" x14ac:dyDescent="0.15">
      <c r="A21" s="8" t="s">
        <v>54</v>
      </c>
      <c r="B21" s="81"/>
      <c r="C21" s="81"/>
      <c r="D21" s="81"/>
    </row>
    <row r="22" spans="1:4" ht="12.75" customHeight="1" x14ac:dyDescent="0.15">
      <c r="A22" s="8" t="s">
        <v>55</v>
      </c>
      <c r="B22" s="81"/>
      <c r="C22" s="81"/>
      <c r="D22" s="81"/>
    </row>
    <row r="23" spans="1:4" ht="13.5" customHeight="1" x14ac:dyDescent="0.15">
      <c r="A23" s="9" t="s">
        <v>56</v>
      </c>
      <c r="B23" s="81"/>
      <c r="C23" s="81"/>
      <c r="D23" s="81"/>
    </row>
    <row r="24" spans="1:4" x14ac:dyDescent="0.15">
      <c r="A24" s="16" t="s">
        <v>57</v>
      </c>
      <c r="B24" s="89">
        <f>SUM(B6:B23)</f>
        <v>1457</v>
      </c>
      <c r="C24" s="89">
        <f>SUM(C6:C23)</f>
        <v>1457</v>
      </c>
      <c r="D24" s="89">
        <f>SUM(D6:D23)</f>
        <v>0</v>
      </c>
    </row>
    <row r="25" spans="1:4" x14ac:dyDescent="0.15">
      <c r="A25" s="17"/>
      <c r="B25" s="18"/>
      <c r="C25" s="11"/>
      <c r="D25" s="11"/>
    </row>
    <row r="26" spans="1:4" ht="28" x14ac:dyDescent="0.15">
      <c r="A26" s="16" t="s">
        <v>58</v>
      </c>
      <c r="B26" s="19" t="str">
        <f>B4</f>
        <v>Previous Year's Enrollment</v>
      </c>
      <c r="C26" s="19" t="str">
        <f>C4</f>
        <v>Budgeted Enrollment</v>
      </c>
      <c r="D26" s="19" t="str">
        <f>D4</f>
        <v>Audited Enrollment</v>
      </c>
    </row>
    <row r="27" spans="1:4" ht="20.25" customHeight="1" x14ac:dyDescent="0.15">
      <c r="A27" s="8" t="s">
        <v>59</v>
      </c>
      <c r="B27" s="81">
        <v>93</v>
      </c>
      <c r="C27" s="81">
        <v>87</v>
      </c>
      <c r="D27" s="81"/>
    </row>
    <row r="28" spans="1:4" ht="12.75" customHeight="1" x14ac:dyDescent="0.15">
      <c r="A28" s="8" t="s">
        <v>60</v>
      </c>
      <c r="B28" s="81">
        <v>49</v>
      </c>
      <c r="C28" s="81">
        <v>51</v>
      </c>
      <c r="D28" s="81"/>
    </row>
    <row r="29" spans="1:4" ht="12.75" customHeight="1" x14ac:dyDescent="0.15">
      <c r="A29" s="8" t="s">
        <v>61</v>
      </c>
      <c r="B29" s="81">
        <v>16</v>
      </c>
      <c r="C29" s="81">
        <v>14</v>
      </c>
      <c r="D29" s="81"/>
    </row>
    <row r="30" spans="1:4" ht="12.75" customHeight="1" x14ac:dyDescent="0.15">
      <c r="A30" s="8" t="s">
        <v>62</v>
      </c>
      <c r="B30" s="81">
        <v>13</v>
      </c>
      <c r="C30" s="81">
        <v>12</v>
      </c>
      <c r="D30" s="81"/>
    </row>
    <row r="31" spans="1:4" ht="13.5" customHeight="1" x14ac:dyDescent="0.15">
      <c r="A31" s="16" t="s">
        <v>63</v>
      </c>
      <c r="B31" s="89">
        <f>SUM(B27:B30)</f>
        <v>171</v>
      </c>
      <c r="C31" s="89">
        <f>SUM(C27:C30)</f>
        <v>164</v>
      </c>
      <c r="D31" s="89">
        <f>SUM(D27:D30)</f>
        <v>0</v>
      </c>
    </row>
    <row r="32" spans="1:4" ht="13.5" customHeight="1" x14ac:dyDescent="0.15">
      <c r="A32" s="20"/>
      <c r="B32" s="21"/>
      <c r="C32" s="11"/>
      <c r="D32" s="11"/>
    </row>
    <row r="33" spans="1:6" x14ac:dyDescent="0.15">
      <c r="A33" s="22"/>
      <c r="B33" s="21"/>
      <c r="C33" s="11"/>
      <c r="D33" s="11"/>
    </row>
    <row r="34" spans="1:6" ht="32.25" customHeight="1" x14ac:dyDescent="0.15">
      <c r="A34" s="12" t="s">
        <v>64</v>
      </c>
      <c r="B34" s="19" t="str">
        <f>B26</f>
        <v>Previous Year's Enrollment</v>
      </c>
      <c r="C34" s="19" t="str">
        <f>C26</f>
        <v>Budgeted Enrollment</v>
      </c>
      <c r="D34" s="19" t="str">
        <f>D26</f>
        <v>Audited Enrollment</v>
      </c>
    </row>
    <row r="35" spans="1:6" ht="21.75" customHeight="1" x14ac:dyDescent="0.15">
      <c r="A35" s="12" t="s">
        <v>65</v>
      </c>
      <c r="B35" s="90">
        <v>263</v>
      </c>
      <c r="C35" s="90">
        <v>263</v>
      </c>
      <c r="D35" s="90"/>
    </row>
    <row r="36" spans="1:6" x14ac:dyDescent="0.15">
      <c r="A36" s="20"/>
      <c r="B36" s="21"/>
      <c r="C36" s="11"/>
      <c r="D36" s="11"/>
    </row>
    <row r="37" spans="1:6" ht="12.75" customHeight="1" x14ac:dyDescent="0.15">
      <c r="A37" s="12" t="s">
        <v>66</v>
      </c>
      <c r="B37" s="19" t="str">
        <f>B34</f>
        <v>Previous Year's Enrollment</v>
      </c>
      <c r="C37" s="19" t="str">
        <f>C34</f>
        <v>Budgeted Enrollment</v>
      </c>
      <c r="D37" s="19" t="str">
        <f>D34</f>
        <v>Audited Enrollment</v>
      </c>
    </row>
    <row r="38" spans="1:6" ht="12.75" customHeight="1" x14ac:dyDescent="0.15">
      <c r="A38" s="7" t="s">
        <v>67</v>
      </c>
      <c r="B38" s="81"/>
      <c r="C38" s="81"/>
      <c r="D38" s="81"/>
    </row>
    <row r="39" spans="1:6" ht="12.75" customHeight="1" x14ac:dyDescent="0.15">
      <c r="A39" s="7" t="s">
        <v>68</v>
      </c>
      <c r="B39" s="81"/>
      <c r="C39" s="81"/>
      <c r="D39" s="81"/>
    </row>
    <row r="40" spans="1:6" ht="12.75" customHeight="1" x14ac:dyDescent="0.15">
      <c r="A40" s="7" t="s">
        <v>69</v>
      </c>
      <c r="B40" s="81"/>
      <c r="C40" s="81"/>
      <c r="D40" s="81"/>
      <c r="F40" s="4"/>
    </row>
    <row r="41" spans="1:6" ht="12.75" customHeight="1" x14ac:dyDescent="0.15">
      <c r="A41" s="7" t="s">
        <v>70</v>
      </c>
      <c r="B41" s="81"/>
      <c r="C41" s="81"/>
      <c r="D41" s="81"/>
      <c r="F41" s="4"/>
    </row>
    <row r="42" spans="1:6" ht="13.5" customHeight="1" x14ac:dyDescent="0.15">
      <c r="A42" s="23" t="s">
        <v>71</v>
      </c>
      <c r="B42" s="89">
        <f>SUM(B38:B41)</f>
        <v>0</v>
      </c>
      <c r="C42" s="89">
        <f>SUM(C38:C41)</f>
        <v>0</v>
      </c>
      <c r="D42" s="89">
        <f>SUM(D38:D41)</f>
        <v>0</v>
      </c>
      <c r="F42" s="4"/>
    </row>
    <row r="43" spans="1:6" ht="13.5" customHeight="1" x14ac:dyDescent="0.15">
      <c r="A43" s="17"/>
      <c r="B43" s="21"/>
      <c r="C43" s="24"/>
      <c r="D43" s="24"/>
      <c r="F43" s="4"/>
    </row>
    <row r="44" spans="1:6" ht="28" x14ac:dyDescent="0.15">
      <c r="A44" s="25" t="s">
        <v>72</v>
      </c>
      <c r="B44" s="19" t="str">
        <f>B34</f>
        <v>Previous Year's Enrollment</v>
      </c>
      <c r="C44" s="19" t="str">
        <f>C34</f>
        <v>Budgeted Enrollment</v>
      </c>
      <c r="D44" s="19" t="str">
        <f>D34</f>
        <v>Audited Enrollment</v>
      </c>
      <c r="F44" s="4"/>
    </row>
    <row r="45" spans="1:6" ht="13.5" customHeight="1" x14ac:dyDescent="0.15">
      <c r="A45" s="12" t="s">
        <v>73</v>
      </c>
      <c r="B45" s="37"/>
      <c r="C45" s="36"/>
      <c r="D45" s="36"/>
      <c r="F45" s="4"/>
    </row>
    <row r="46" spans="1:6" ht="13.5" customHeight="1" x14ac:dyDescent="0.15">
      <c r="A46" s="20"/>
      <c r="B46" s="21"/>
      <c r="C46" s="26"/>
      <c r="D46" s="26"/>
      <c r="F46" s="4"/>
    </row>
    <row r="47" spans="1:6" ht="12.75" customHeight="1" x14ac:dyDescent="0.15">
      <c r="A47" s="7" t="s">
        <v>74</v>
      </c>
      <c r="B47" s="19" t="str">
        <f>B44</f>
        <v>Previous Year's Enrollment</v>
      </c>
      <c r="C47" s="19" t="str">
        <f>C44</f>
        <v>Budgeted Enrollment</v>
      </c>
      <c r="D47" s="19" t="str">
        <f>D44</f>
        <v>Audited Enrollment</v>
      </c>
      <c r="F47" s="4"/>
    </row>
    <row r="48" spans="1:6" ht="13.5" customHeight="1" x14ac:dyDescent="0.15">
      <c r="A48" s="12" t="s">
        <v>74</v>
      </c>
      <c r="B48" s="35"/>
      <c r="C48" s="36"/>
      <c r="D48" s="36"/>
      <c r="F48" s="4"/>
    </row>
    <row r="49" spans="1:6" x14ac:dyDescent="0.15">
      <c r="A49" s="20"/>
      <c r="B49" s="21"/>
      <c r="C49" s="26"/>
      <c r="D49" s="26"/>
      <c r="F49" s="4"/>
    </row>
    <row r="50" spans="1:6" ht="12.75" customHeight="1" x14ac:dyDescent="0.15">
      <c r="A50" s="12" t="s">
        <v>119</v>
      </c>
      <c r="B50" s="19" t="str">
        <f>B47</f>
        <v>Previous Year's Enrollment</v>
      </c>
      <c r="C50" s="19" t="str">
        <f>C47</f>
        <v>Budgeted Enrollment</v>
      </c>
      <c r="D50" s="19" t="str">
        <f>D47</f>
        <v>Audited Enrollment</v>
      </c>
      <c r="F50" s="4"/>
    </row>
    <row r="51" spans="1:6" ht="13.5" customHeight="1" x14ac:dyDescent="0.15">
      <c r="A51" s="12" t="s">
        <v>120</v>
      </c>
      <c r="B51" s="90">
        <v>640</v>
      </c>
      <c r="C51" s="90">
        <v>633</v>
      </c>
      <c r="D51" s="90"/>
      <c r="F51" s="4"/>
    </row>
    <row r="52" spans="1:6" x14ac:dyDescent="0.15">
      <c r="A52" s="27"/>
      <c r="B52" s="10"/>
      <c r="C52" s="28"/>
      <c r="D52" s="28"/>
      <c r="F52" s="4"/>
    </row>
    <row r="53" spans="1:6" ht="28" x14ac:dyDescent="0.15">
      <c r="A53" s="12" t="s">
        <v>75</v>
      </c>
      <c r="B53" s="19" t="str">
        <f>B44</f>
        <v>Previous Year's Enrollment</v>
      </c>
      <c r="C53" s="19" t="str">
        <f>C44</f>
        <v>Budgeted Enrollment</v>
      </c>
      <c r="D53" s="19" t="str">
        <f>D44</f>
        <v>Audited Enrollment</v>
      </c>
      <c r="F53" s="4"/>
    </row>
    <row r="54" spans="1:6" ht="12.75" customHeight="1" x14ac:dyDescent="0.15">
      <c r="A54" s="7" t="s">
        <v>76</v>
      </c>
      <c r="B54" s="81">
        <v>0</v>
      </c>
      <c r="C54" s="81"/>
      <c r="D54" s="81"/>
      <c r="F54" s="4"/>
    </row>
    <row r="55" spans="1:6" ht="12.75" customHeight="1" x14ac:dyDescent="0.15">
      <c r="A55" s="7" t="s">
        <v>77</v>
      </c>
      <c r="B55" s="81">
        <v>6</v>
      </c>
      <c r="C55" s="81"/>
      <c r="D55" s="81"/>
      <c r="F55" s="4"/>
    </row>
    <row r="56" spans="1:6" ht="12.75" customHeight="1" x14ac:dyDescent="0.15">
      <c r="A56" s="7" t="s">
        <v>78</v>
      </c>
      <c r="B56" s="81">
        <v>6</v>
      </c>
      <c r="C56" s="81"/>
      <c r="D56" s="81"/>
      <c r="F56" s="4"/>
    </row>
    <row r="57" spans="1:6" ht="12.75" customHeight="1" x14ac:dyDescent="0.15">
      <c r="A57" s="7" t="s">
        <v>79</v>
      </c>
      <c r="B57" s="81">
        <v>0</v>
      </c>
      <c r="C57" s="81"/>
      <c r="D57" s="81"/>
      <c r="F57" s="4"/>
    </row>
    <row r="58" spans="1:6" ht="14.25" customHeight="1" x14ac:dyDescent="0.15">
      <c r="A58" s="29" t="s">
        <v>80</v>
      </c>
      <c r="B58" s="89">
        <f>SUM(B54:B57)</f>
        <v>12</v>
      </c>
      <c r="C58" s="89">
        <f>SUM(C54:C57)</f>
        <v>0</v>
      </c>
      <c r="D58" s="89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0"/>
      <c r="B60" s="31"/>
      <c r="C60" s="31"/>
      <c r="D60" s="31"/>
      <c r="F60" s="4"/>
    </row>
    <row r="61" spans="1:6" x14ac:dyDescent="0.15">
      <c r="A61" s="32"/>
      <c r="B61" s="33"/>
      <c r="C61" s="33"/>
      <c r="D61" s="33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71"/>
  <sheetViews>
    <sheetView showGridLines="0" tabSelected="1" zoomScaleNormal="100" zoomScaleSheetLayoutView="100" workbookViewId="0">
      <selection activeCell="Z74" sqref="Z74"/>
    </sheetView>
  </sheetViews>
  <sheetFormatPr baseColWidth="10" defaultColWidth="9.1640625" defaultRowHeight="12.75" customHeight="1" x14ac:dyDescent="0.15"/>
  <cols>
    <col min="1" max="1" width="1.83203125" style="38" customWidth="1"/>
    <col min="2" max="2" width="45.83203125" style="38" bestFit="1" customWidth="1"/>
    <col min="3" max="3" width="2.83203125" style="38" customWidth="1"/>
    <col min="4" max="4" width="10.6640625" style="38" customWidth="1"/>
    <col min="5" max="5" width="2.6640625" style="2" customWidth="1"/>
    <col min="6" max="6" width="10.6640625" style="39" customWidth="1"/>
    <col min="7" max="7" width="2.6640625" style="2" customWidth="1"/>
    <col min="8" max="23" width="10.6640625" style="38" customWidth="1"/>
    <col min="24" max="24" width="2.6640625" style="38" customWidth="1"/>
    <col min="25" max="25" width="14.83203125" style="38" customWidth="1"/>
    <col min="26" max="16384" width="9.1640625" style="38"/>
  </cols>
  <sheetData>
    <row r="1" spans="1:25" ht="12.75" customHeight="1" x14ac:dyDescent="0.15">
      <c r="A1" s="51" t="str">
        <f>'Cover Sheet'!A2</f>
        <v>Center City Public Charter Schools</v>
      </c>
      <c r="B1" s="51"/>
    </row>
    <row r="2" spans="1:25" ht="12.75" customHeight="1" x14ac:dyDescent="0.15">
      <c r="A2" s="38" t="str">
        <f>'Cover Sheet'!A8&amp;" Annual Budget"</f>
        <v>FY2020 Annual Budget</v>
      </c>
    </row>
    <row r="3" spans="1:25" ht="13" x14ac:dyDescent="0.15">
      <c r="A3" s="40"/>
      <c r="B3" s="41"/>
      <c r="C3" s="40"/>
      <c r="D3" s="41"/>
      <c r="F3" s="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0"/>
    </row>
    <row r="4" spans="1:25" ht="13" x14ac:dyDescent="0.15">
      <c r="A4" s="2"/>
      <c r="B4" s="2"/>
      <c r="C4" s="40"/>
      <c r="D4" s="42" t="s">
        <v>149</v>
      </c>
      <c r="E4" s="43"/>
      <c r="F4" s="43"/>
      <c r="G4" s="43"/>
      <c r="H4" s="42" t="s">
        <v>137</v>
      </c>
      <c r="I4" s="42" t="s">
        <v>138</v>
      </c>
      <c r="J4" s="42" t="s">
        <v>139</v>
      </c>
      <c r="K4" s="42" t="s">
        <v>82</v>
      </c>
      <c r="L4" s="42" t="s">
        <v>140</v>
      </c>
      <c r="M4" s="42" t="s">
        <v>141</v>
      </c>
      <c r="N4" s="42" t="s">
        <v>142</v>
      </c>
      <c r="O4" s="42" t="s">
        <v>83</v>
      </c>
      <c r="P4" s="42" t="s">
        <v>143</v>
      </c>
      <c r="Q4" s="42" t="s">
        <v>144</v>
      </c>
      <c r="R4" s="42" t="s">
        <v>145</v>
      </c>
      <c r="S4" s="42" t="s">
        <v>84</v>
      </c>
      <c r="T4" s="42" t="s">
        <v>146</v>
      </c>
      <c r="U4" s="42" t="s">
        <v>147</v>
      </c>
      <c r="V4" s="42" t="s">
        <v>148</v>
      </c>
      <c r="W4" s="42" t="s">
        <v>85</v>
      </c>
      <c r="X4" s="40"/>
      <c r="Y4" s="42" t="s">
        <v>150</v>
      </c>
    </row>
    <row r="5" spans="1:25" ht="13" x14ac:dyDescent="0.15">
      <c r="B5" s="2"/>
      <c r="C5" s="40"/>
      <c r="D5" s="44" t="s">
        <v>2</v>
      </c>
      <c r="E5" s="45"/>
      <c r="F5" s="45"/>
      <c r="G5" s="45"/>
      <c r="H5" s="44" t="str">
        <f>D5</f>
        <v>Budget</v>
      </c>
      <c r="I5" s="44" t="str">
        <f>H5</f>
        <v>Budget</v>
      </c>
      <c r="J5" s="44" t="str">
        <f t="shared" ref="J5:W5" si="0">I5</f>
        <v>Budget</v>
      </c>
      <c r="K5" s="44" t="str">
        <f t="shared" si="0"/>
        <v>Budget</v>
      </c>
      <c r="L5" s="44" t="str">
        <f t="shared" si="0"/>
        <v>Budget</v>
      </c>
      <c r="M5" s="44" t="str">
        <f t="shared" si="0"/>
        <v>Budget</v>
      </c>
      <c r="N5" s="44" t="str">
        <f t="shared" si="0"/>
        <v>Budget</v>
      </c>
      <c r="O5" s="44" t="str">
        <f t="shared" si="0"/>
        <v>Budget</v>
      </c>
      <c r="P5" s="44" t="str">
        <f t="shared" si="0"/>
        <v>Budget</v>
      </c>
      <c r="Q5" s="44" t="str">
        <f t="shared" si="0"/>
        <v>Budget</v>
      </c>
      <c r="R5" s="44" t="str">
        <f t="shared" si="0"/>
        <v>Budget</v>
      </c>
      <c r="S5" s="44" t="str">
        <f t="shared" si="0"/>
        <v>Budget</v>
      </c>
      <c r="T5" s="44" t="str">
        <f t="shared" si="0"/>
        <v>Budget</v>
      </c>
      <c r="U5" s="44" t="str">
        <f t="shared" si="0"/>
        <v>Budget</v>
      </c>
      <c r="V5" s="44" t="str">
        <f t="shared" si="0"/>
        <v>Budget</v>
      </c>
      <c r="W5" s="44" t="str">
        <f t="shared" si="0"/>
        <v>Budget</v>
      </c>
      <c r="X5" s="40"/>
      <c r="Y5" s="44" t="s">
        <v>112</v>
      </c>
    </row>
    <row r="6" spans="1:25" ht="13" x14ac:dyDescent="0.15">
      <c r="A6" s="46" t="s">
        <v>4</v>
      </c>
      <c r="B6" s="2"/>
      <c r="C6" s="40"/>
      <c r="X6" s="40"/>
    </row>
    <row r="7" spans="1:25" ht="13" x14ac:dyDescent="0.15">
      <c r="A7" s="41"/>
      <c r="B7" s="41" t="s">
        <v>153</v>
      </c>
      <c r="C7" s="40"/>
      <c r="D7" s="47">
        <v>16943813</v>
      </c>
      <c r="E7" s="48"/>
      <c r="F7" s="48"/>
      <c r="G7" s="48"/>
      <c r="H7" s="47">
        <v>0</v>
      </c>
      <c r="I7" s="47">
        <f>17398620/10*0.5</f>
        <v>869931</v>
      </c>
      <c r="J7" s="47">
        <f>17398620/10</f>
        <v>1739862</v>
      </c>
      <c r="K7" s="48">
        <f>SUM(H7:J7)</f>
        <v>2609793</v>
      </c>
      <c r="L7" s="47">
        <f>+$J7</f>
        <v>1739862</v>
      </c>
      <c r="M7" s="47">
        <f t="shared" ref="M7:N13" si="1">+$J7</f>
        <v>1739862</v>
      </c>
      <c r="N7" s="47">
        <f t="shared" si="1"/>
        <v>1739862</v>
      </c>
      <c r="O7" s="48">
        <f>SUM(L7:N7)</f>
        <v>5219586</v>
      </c>
      <c r="P7" s="47">
        <f t="shared" ref="P7:R13" si="2">+$J7</f>
        <v>1739862</v>
      </c>
      <c r="Q7" s="47">
        <f t="shared" si="2"/>
        <v>1739862</v>
      </c>
      <c r="R7" s="47">
        <f t="shared" si="2"/>
        <v>1739862</v>
      </c>
      <c r="S7" s="48">
        <f>SUM(P7:R7)</f>
        <v>5219586</v>
      </c>
      <c r="T7" s="47">
        <f t="shared" ref="T7:U13" si="3">+$J7</f>
        <v>1739862</v>
      </c>
      <c r="U7" s="47">
        <f t="shared" si="3"/>
        <v>1739862</v>
      </c>
      <c r="V7" s="47">
        <f>+I7</f>
        <v>869931</v>
      </c>
      <c r="W7" s="48">
        <f>SUM(T7:V7)</f>
        <v>4349655</v>
      </c>
      <c r="X7" s="92"/>
      <c r="Y7" s="93">
        <f>SUM(K7,O7,S7,W7)</f>
        <v>17398620</v>
      </c>
    </row>
    <row r="8" spans="1:25" ht="13" x14ac:dyDescent="0.15">
      <c r="A8" s="41"/>
      <c r="B8" s="41" t="s">
        <v>154</v>
      </c>
      <c r="C8" s="40"/>
      <c r="D8" s="47">
        <v>5215750</v>
      </c>
      <c r="E8" s="48"/>
      <c r="F8" s="48"/>
      <c r="G8" s="48"/>
      <c r="H8" s="47">
        <v>0</v>
      </c>
      <c r="I8" s="47">
        <f>5677435/10*0.5</f>
        <v>283871.75</v>
      </c>
      <c r="J8" s="47">
        <f>5677435/10</f>
        <v>567743.5</v>
      </c>
      <c r="K8" s="48">
        <f t="shared" ref="K8:K15" si="4">SUM(H8:J8)</f>
        <v>851615.25</v>
      </c>
      <c r="L8" s="47">
        <f>+$J8</f>
        <v>567743.5</v>
      </c>
      <c r="M8" s="47">
        <f t="shared" si="1"/>
        <v>567743.5</v>
      </c>
      <c r="N8" s="47">
        <f t="shared" si="1"/>
        <v>567743.5</v>
      </c>
      <c r="O8" s="48">
        <f t="shared" ref="O8:O15" si="5">SUM(L8:N8)</f>
        <v>1703230.5</v>
      </c>
      <c r="P8" s="47">
        <f t="shared" si="2"/>
        <v>567743.5</v>
      </c>
      <c r="Q8" s="47">
        <f t="shared" si="2"/>
        <v>567743.5</v>
      </c>
      <c r="R8" s="47">
        <f t="shared" si="2"/>
        <v>567743.5</v>
      </c>
      <c r="S8" s="48">
        <f t="shared" ref="S8:S15" si="6">SUM(P8:R8)</f>
        <v>1703230.5</v>
      </c>
      <c r="T8" s="47">
        <f t="shared" si="3"/>
        <v>567743.5</v>
      </c>
      <c r="U8" s="47">
        <f t="shared" si="3"/>
        <v>567743.5</v>
      </c>
      <c r="V8" s="47">
        <f>+I8</f>
        <v>283871.75</v>
      </c>
      <c r="W8" s="48">
        <f t="shared" ref="W8:W15" si="7">SUM(T8:V8)</f>
        <v>1419358.75</v>
      </c>
      <c r="X8" s="92"/>
      <c r="Y8" s="93">
        <f t="shared" ref="Y8:Y15" si="8">SUM(K8,O8,S8,W8)</f>
        <v>5677435</v>
      </c>
    </row>
    <row r="9" spans="1:25" ht="13" x14ac:dyDescent="0.15">
      <c r="A9" s="41"/>
      <c r="B9" s="41" t="s">
        <v>5</v>
      </c>
      <c r="C9" s="40"/>
      <c r="D9" s="47">
        <v>4777392</v>
      </c>
      <c r="E9" s="48"/>
      <c r="F9" s="48"/>
      <c r="G9" s="48"/>
      <c r="H9" s="47">
        <v>0</v>
      </c>
      <c r="I9" s="47">
        <f>4849275/10*0.5</f>
        <v>242463.75</v>
      </c>
      <c r="J9" s="47">
        <f>4849275/10</f>
        <v>484927.5</v>
      </c>
      <c r="K9" s="48">
        <f t="shared" si="4"/>
        <v>727391.25</v>
      </c>
      <c r="L9" s="47">
        <f>+$J9</f>
        <v>484927.5</v>
      </c>
      <c r="M9" s="47">
        <f t="shared" si="1"/>
        <v>484927.5</v>
      </c>
      <c r="N9" s="47">
        <f t="shared" si="1"/>
        <v>484927.5</v>
      </c>
      <c r="O9" s="48">
        <f t="shared" si="5"/>
        <v>1454782.5</v>
      </c>
      <c r="P9" s="47">
        <f t="shared" si="2"/>
        <v>484927.5</v>
      </c>
      <c r="Q9" s="47">
        <f t="shared" si="2"/>
        <v>484927.5</v>
      </c>
      <c r="R9" s="47">
        <f t="shared" si="2"/>
        <v>484927.5</v>
      </c>
      <c r="S9" s="48">
        <f t="shared" si="6"/>
        <v>1454782.5</v>
      </c>
      <c r="T9" s="47">
        <f t="shared" si="3"/>
        <v>484927.5</v>
      </c>
      <c r="U9" s="47">
        <f t="shared" si="3"/>
        <v>484927.5</v>
      </c>
      <c r="V9" s="47">
        <f>+I9</f>
        <v>242463.75</v>
      </c>
      <c r="W9" s="48">
        <f t="shared" si="7"/>
        <v>1212318.75</v>
      </c>
      <c r="X9" s="92"/>
      <c r="Y9" s="93">
        <f t="shared" si="8"/>
        <v>4849275</v>
      </c>
    </row>
    <row r="10" spans="1:25" ht="13" x14ac:dyDescent="0.15">
      <c r="A10" s="41"/>
      <c r="B10" s="41" t="s">
        <v>167</v>
      </c>
      <c r="C10" s="40"/>
      <c r="D10" s="47">
        <v>2260000</v>
      </c>
      <c r="E10" s="48"/>
      <c r="F10" s="48"/>
      <c r="G10" s="48"/>
      <c r="H10" s="47">
        <f>2222000/12</f>
        <v>185166.66666666666</v>
      </c>
      <c r="I10" s="47">
        <f>+$H10</f>
        <v>185166.66666666666</v>
      </c>
      <c r="J10" s="47">
        <f>+$H10</f>
        <v>185166.66666666666</v>
      </c>
      <c r="K10" s="48">
        <f t="shared" si="4"/>
        <v>555500</v>
      </c>
      <c r="L10" s="47">
        <f t="shared" ref="L10:N10" si="9">+$H10</f>
        <v>185166.66666666666</v>
      </c>
      <c r="M10" s="47">
        <f t="shared" si="9"/>
        <v>185166.66666666666</v>
      </c>
      <c r="N10" s="47">
        <f t="shared" si="9"/>
        <v>185166.66666666666</v>
      </c>
      <c r="O10" s="48">
        <f t="shared" si="5"/>
        <v>555500</v>
      </c>
      <c r="P10" s="47">
        <f t="shared" ref="P10:R10" si="10">+$H10</f>
        <v>185166.66666666666</v>
      </c>
      <c r="Q10" s="47">
        <f t="shared" si="10"/>
        <v>185166.66666666666</v>
      </c>
      <c r="R10" s="47">
        <f t="shared" si="10"/>
        <v>185166.66666666666</v>
      </c>
      <c r="S10" s="48">
        <f t="shared" si="6"/>
        <v>555500</v>
      </c>
      <c r="T10" s="47">
        <f t="shared" ref="T10:V10" si="11">+$H10</f>
        <v>185166.66666666666</v>
      </c>
      <c r="U10" s="47">
        <f t="shared" si="11"/>
        <v>185166.66666666666</v>
      </c>
      <c r="V10" s="47">
        <f t="shared" si="11"/>
        <v>185166.66666666666</v>
      </c>
      <c r="W10" s="48">
        <f t="shared" si="7"/>
        <v>555500</v>
      </c>
      <c r="X10" s="92"/>
      <c r="Y10" s="93">
        <f t="shared" si="8"/>
        <v>2222000</v>
      </c>
    </row>
    <row r="11" spans="1:25" ht="13" x14ac:dyDescent="0.15">
      <c r="A11" s="41"/>
      <c r="B11" s="41" t="s">
        <v>6</v>
      </c>
      <c r="C11" s="40"/>
      <c r="D11" s="47">
        <v>44100</v>
      </c>
      <c r="E11" s="48"/>
      <c r="F11" s="48"/>
      <c r="G11" s="48"/>
      <c r="H11" s="47"/>
      <c r="I11" s="47">
        <f>45000/10*0.5</f>
        <v>2250</v>
      </c>
      <c r="J11" s="47">
        <f>45000/10</f>
        <v>4500</v>
      </c>
      <c r="K11" s="48">
        <f t="shared" si="4"/>
        <v>6750</v>
      </c>
      <c r="L11" s="47">
        <f>+$J11</f>
        <v>4500</v>
      </c>
      <c r="M11" s="47">
        <f t="shared" si="1"/>
        <v>4500</v>
      </c>
      <c r="N11" s="47">
        <f t="shared" si="1"/>
        <v>4500</v>
      </c>
      <c r="O11" s="48">
        <f t="shared" si="5"/>
        <v>13500</v>
      </c>
      <c r="P11" s="47">
        <f t="shared" si="2"/>
        <v>4500</v>
      </c>
      <c r="Q11" s="47">
        <f t="shared" si="2"/>
        <v>4500</v>
      </c>
      <c r="R11" s="47">
        <f t="shared" si="2"/>
        <v>4500</v>
      </c>
      <c r="S11" s="48">
        <f t="shared" si="6"/>
        <v>13500</v>
      </c>
      <c r="T11" s="47">
        <f t="shared" si="3"/>
        <v>4500</v>
      </c>
      <c r="U11" s="47">
        <f t="shared" si="3"/>
        <v>4500</v>
      </c>
      <c r="V11" s="47">
        <f>+I11</f>
        <v>2250</v>
      </c>
      <c r="W11" s="48">
        <f t="shared" si="7"/>
        <v>11250</v>
      </c>
      <c r="X11" s="92"/>
      <c r="Y11" s="93">
        <f t="shared" si="8"/>
        <v>45000</v>
      </c>
    </row>
    <row r="12" spans="1:25" ht="13" x14ac:dyDescent="0.15">
      <c r="A12" s="41"/>
      <c r="B12" s="41" t="s">
        <v>7</v>
      </c>
      <c r="C12" s="40"/>
      <c r="D12" s="47">
        <v>67000</v>
      </c>
      <c r="E12" s="48"/>
      <c r="F12" s="48"/>
      <c r="G12" s="48"/>
      <c r="H12" s="47"/>
      <c r="I12" s="47"/>
      <c r="J12" s="47">
        <f>25000/4</f>
        <v>6250</v>
      </c>
      <c r="K12" s="48">
        <f t="shared" si="4"/>
        <v>6250</v>
      </c>
      <c r="L12" s="47"/>
      <c r="M12" s="47"/>
      <c r="N12" s="47">
        <f>J12</f>
        <v>6250</v>
      </c>
      <c r="O12" s="48">
        <f t="shared" si="5"/>
        <v>6250</v>
      </c>
      <c r="P12" s="47"/>
      <c r="Q12" s="47"/>
      <c r="R12" s="47">
        <f>N12</f>
        <v>6250</v>
      </c>
      <c r="S12" s="48">
        <f t="shared" si="6"/>
        <v>6250</v>
      </c>
      <c r="T12" s="47"/>
      <c r="U12" s="47"/>
      <c r="V12" s="47">
        <f>R12</f>
        <v>6250</v>
      </c>
      <c r="W12" s="48">
        <f t="shared" si="7"/>
        <v>6250</v>
      </c>
      <c r="X12" s="92"/>
      <c r="Y12" s="93">
        <f t="shared" si="8"/>
        <v>25000</v>
      </c>
    </row>
    <row r="13" spans="1:25" ht="13" x14ac:dyDescent="0.15">
      <c r="A13" s="41"/>
      <c r="B13" s="41" t="s">
        <v>8</v>
      </c>
      <c r="C13" s="40"/>
      <c r="D13" s="47">
        <v>412705</v>
      </c>
      <c r="E13" s="48"/>
      <c r="F13" s="48"/>
      <c r="G13" s="48"/>
      <c r="H13" s="47"/>
      <c r="I13" s="47">
        <f>451089/10*0.5</f>
        <v>22554.45</v>
      </c>
      <c r="J13" s="47">
        <f>451089/10</f>
        <v>45108.9</v>
      </c>
      <c r="K13" s="48">
        <f t="shared" si="4"/>
        <v>67663.350000000006</v>
      </c>
      <c r="L13" s="47">
        <f>+$J13</f>
        <v>45108.9</v>
      </c>
      <c r="M13" s="47">
        <f t="shared" si="1"/>
        <v>45108.9</v>
      </c>
      <c r="N13" s="47">
        <f t="shared" si="1"/>
        <v>45108.9</v>
      </c>
      <c r="O13" s="48">
        <f t="shared" si="5"/>
        <v>135326.70000000001</v>
      </c>
      <c r="P13" s="47">
        <f t="shared" si="2"/>
        <v>45108.9</v>
      </c>
      <c r="Q13" s="47">
        <f t="shared" si="2"/>
        <v>45108.9</v>
      </c>
      <c r="R13" s="47">
        <f t="shared" si="2"/>
        <v>45108.9</v>
      </c>
      <c r="S13" s="48">
        <f t="shared" si="6"/>
        <v>135326.70000000001</v>
      </c>
      <c r="T13" s="47">
        <f t="shared" si="3"/>
        <v>45108.9</v>
      </c>
      <c r="U13" s="47">
        <f t="shared" si="3"/>
        <v>45108.9</v>
      </c>
      <c r="V13" s="47">
        <f>+I13</f>
        <v>22554.45</v>
      </c>
      <c r="W13" s="48">
        <f t="shared" si="7"/>
        <v>112772.25</v>
      </c>
      <c r="X13" s="92"/>
      <c r="Y13" s="93">
        <f t="shared" si="8"/>
        <v>451089</v>
      </c>
    </row>
    <row r="14" spans="1:25" ht="13" x14ac:dyDescent="0.15">
      <c r="A14" s="41"/>
      <c r="B14" s="41" t="s">
        <v>155</v>
      </c>
      <c r="C14" s="40"/>
      <c r="D14" s="81">
        <v>0</v>
      </c>
      <c r="E14" s="48"/>
      <c r="F14" s="48"/>
      <c r="G14" s="48"/>
      <c r="H14" s="81">
        <v>0</v>
      </c>
      <c r="I14" s="47">
        <f>+$H14</f>
        <v>0</v>
      </c>
      <c r="J14" s="47">
        <f>+$H14</f>
        <v>0</v>
      </c>
      <c r="K14" s="48">
        <f t="shared" si="4"/>
        <v>0</v>
      </c>
      <c r="L14" s="47">
        <f t="shared" ref="L14:N15" si="12">+$H14</f>
        <v>0</v>
      </c>
      <c r="M14" s="47">
        <f t="shared" si="12"/>
        <v>0</v>
      </c>
      <c r="N14" s="47">
        <f t="shared" si="12"/>
        <v>0</v>
      </c>
      <c r="O14" s="48">
        <f t="shared" si="5"/>
        <v>0</v>
      </c>
      <c r="P14" s="47">
        <f t="shared" ref="P14:R15" si="13">+$H14</f>
        <v>0</v>
      </c>
      <c r="Q14" s="47">
        <f t="shared" si="13"/>
        <v>0</v>
      </c>
      <c r="R14" s="47">
        <f t="shared" si="13"/>
        <v>0</v>
      </c>
      <c r="S14" s="48">
        <f t="shared" si="6"/>
        <v>0</v>
      </c>
      <c r="T14" s="47">
        <f t="shared" ref="T14:V15" si="14">+$H14</f>
        <v>0</v>
      </c>
      <c r="U14" s="47">
        <f t="shared" si="14"/>
        <v>0</v>
      </c>
      <c r="V14" s="47">
        <f t="shared" si="14"/>
        <v>0</v>
      </c>
      <c r="W14" s="48">
        <f t="shared" si="7"/>
        <v>0</v>
      </c>
      <c r="X14" s="92"/>
      <c r="Y14" s="93">
        <f t="shared" si="8"/>
        <v>0</v>
      </c>
    </row>
    <row r="15" spans="1:25" ht="13" x14ac:dyDescent="0.15">
      <c r="A15" s="41"/>
      <c r="B15" s="41" t="s">
        <v>9</v>
      </c>
      <c r="C15" s="40"/>
      <c r="D15" s="47">
        <v>105000</v>
      </c>
      <c r="E15" s="48"/>
      <c r="F15" s="48"/>
      <c r="G15" s="48"/>
      <c r="H15" s="47">
        <f>224539/12</f>
        <v>18711.583333333332</v>
      </c>
      <c r="I15" s="47">
        <f>+$H15</f>
        <v>18711.583333333332</v>
      </c>
      <c r="J15" s="47">
        <f>+$H15</f>
        <v>18711.583333333332</v>
      </c>
      <c r="K15" s="48">
        <f t="shared" si="4"/>
        <v>56134.75</v>
      </c>
      <c r="L15" s="47">
        <f t="shared" si="12"/>
        <v>18711.583333333332</v>
      </c>
      <c r="M15" s="47">
        <f t="shared" si="12"/>
        <v>18711.583333333332</v>
      </c>
      <c r="N15" s="47">
        <f t="shared" si="12"/>
        <v>18711.583333333332</v>
      </c>
      <c r="O15" s="48">
        <f t="shared" si="5"/>
        <v>56134.75</v>
      </c>
      <c r="P15" s="47">
        <f t="shared" si="13"/>
        <v>18711.583333333332</v>
      </c>
      <c r="Q15" s="47">
        <f t="shared" si="13"/>
        <v>18711.583333333332</v>
      </c>
      <c r="R15" s="47">
        <f t="shared" si="13"/>
        <v>18711.583333333332</v>
      </c>
      <c r="S15" s="48">
        <f t="shared" si="6"/>
        <v>56134.75</v>
      </c>
      <c r="T15" s="47">
        <f t="shared" si="14"/>
        <v>18711.583333333332</v>
      </c>
      <c r="U15" s="47">
        <f t="shared" si="14"/>
        <v>18711.583333333332</v>
      </c>
      <c r="V15" s="47">
        <f t="shared" si="14"/>
        <v>18711.583333333332</v>
      </c>
      <c r="W15" s="48">
        <f t="shared" si="7"/>
        <v>56134.75</v>
      </c>
      <c r="X15" s="92"/>
      <c r="Y15" s="84">
        <f t="shared" si="8"/>
        <v>224539</v>
      </c>
    </row>
    <row r="16" spans="1:25" ht="13" x14ac:dyDescent="0.15">
      <c r="A16" s="41"/>
      <c r="B16" s="49" t="s">
        <v>10</v>
      </c>
      <c r="C16" s="40"/>
      <c r="D16" s="91">
        <f>SUM(D7:D15)</f>
        <v>29825760</v>
      </c>
      <c r="E16" s="94"/>
      <c r="F16" s="94"/>
      <c r="G16" s="94"/>
      <c r="H16" s="91">
        <f>SUM(H7:H15)</f>
        <v>203878.25</v>
      </c>
      <c r="I16" s="91">
        <f t="shared" ref="I16:J16" si="15">SUM(I7:I15)</f>
        <v>1624949.2</v>
      </c>
      <c r="J16" s="91">
        <f t="shared" si="15"/>
        <v>3052270.15</v>
      </c>
      <c r="K16" s="91">
        <f>SUM(H16:J16)</f>
        <v>4881097.5999999996</v>
      </c>
      <c r="L16" s="91">
        <f>SUM(L7:L15)</f>
        <v>3046020.15</v>
      </c>
      <c r="M16" s="91">
        <f t="shared" ref="M16:N16" si="16">SUM(M7:M15)</f>
        <v>3046020.15</v>
      </c>
      <c r="N16" s="91">
        <f t="shared" si="16"/>
        <v>3052270.15</v>
      </c>
      <c r="O16" s="91">
        <f>SUM(L16:N16)</f>
        <v>9144310.4499999993</v>
      </c>
      <c r="P16" s="91">
        <f>SUM(P7:P15)</f>
        <v>3046020.15</v>
      </c>
      <c r="Q16" s="91">
        <f t="shared" ref="Q16:R16" si="17">SUM(Q7:Q15)</f>
        <v>3046020.15</v>
      </c>
      <c r="R16" s="91">
        <f t="shared" si="17"/>
        <v>3052270.15</v>
      </c>
      <c r="S16" s="91">
        <f>SUM(P16:R16)</f>
        <v>9144310.4499999993</v>
      </c>
      <c r="T16" s="91">
        <f>SUM(T7:T15)</f>
        <v>3046020.15</v>
      </c>
      <c r="U16" s="91">
        <f t="shared" ref="U16:V16" si="18">SUM(U7:U15)</f>
        <v>3046020.15</v>
      </c>
      <c r="V16" s="91">
        <f t="shared" si="18"/>
        <v>1631199.2</v>
      </c>
      <c r="W16" s="91">
        <f>SUM(T16:V16)</f>
        <v>7723239.5</v>
      </c>
      <c r="X16" s="92"/>
      <c r="Y16" s="93">
        <f>SUM(K16,O16,S16,W16)</f>
        <v>30892958</v>
      </c>
    </row>
    <row r="17" spans="1:25" ht="13" x14ac:dyDescent="0.15">
      <c r="A17" s="41"/>
      <c r="B17" s="50"/>
      <c r="C17" s="40"/>
      <c r="D17" s="95"/>
      <c r="E17" s="94"/>
      <c r="F17" s="94"/>
      <c r="G17" s="94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2"/>
      <c r="Y17" s="93"/>
    </row>
    <row r="18" spans="1:25" ht="13" x14ac:dyDescent="0.15">
      <c r="A18" s="51" t="s">
        <v>159</v>
      </c>
      <c r="B18" s="2"/>
      <c r="C18" s="40"/>
      <c r="D18" s="54"/>
      <c r="E18" s="54"/>
      <c r="F18" s="101" t="str">
        <f>'Cover Sheet'!A8</f>
        <v>FY2020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92"/>
      <c r="Y18" s="93"/>
    </row>
    <row r="19" spans="1:25" ht="13" x14ac:dyDescent="0.15">
      <c r="A19" s="52" t="s">
        <v>11</v>
      </c>
      <c r="B19" s="2"/>
      <c r="C19" s="40"/>
      <c r="D19" s="54"/>
      <c r="E19" s="54"/>
      <c r="F19" s="48" t="s">
        <v>111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92"/>
      <c r="Y19" s="93"/>
    </row>
    <row r="20" spans="1:25" ht="13" x14ac:dyDescent="0.15">
      <c r="A20" s="41"/>
      <c r="B20" s="2" t="s">
        <v>12</v>
      </c>
      <c r="C20" s="40"/>
      <c r="D20" s="53">
        <v>1257733</v>
      </c>
      <c r="E20" s="54"/>
      <c r="F20" s="53">
        <v>12</v>
      </c>
      <c r="G20" s="54"/>
      <c r="H20" s="53">
        <f>1331165/12</f>
        <v>110930.41666666667</v>
      </c>
      <c r="I20" s="47">
        <f>+$H20</f>
        <v>110930.41666666667</v>
      </c>
      <c r="J20" s="47">
        <f>+$H20</f>
        <v>110930.41666666667</v>
      </c>
      <c r="K20" s="55">
        <f t="shared" ref="K20:K26" si="19">SUM(H20:J20)</f>
        <v>332791.25</v>
      </c>
      <c r="L20" s="47">
        <f>+$H20</f>
        <v>110930.41666666667</v>
      </c>
      <c r="M20" s="47">
        <f>+$H20</f>
        <v>110930.41666666667</v>
      </c>
      <c r="N20" s="47">
        <f>+$H20</f>
        <v>110930.41666666667</v>
      </c>
      <c r="O20" s="55">
        <f t="shared" ref="O20:O26" si="20">SUM(L20:N20)</f>
        <v>332791.25</v>
      </c>
      <c r="P20" s="47">
        <f>+$H20</f>
        <v>110930.41666666667</v>
      </c>
      <c r="Q20" s="47">
        <f>+$H20</f>
        <v>110930.41666666667</v>
      </c>
      <c r="R20" s="47">
        <f>+$H20</f>
        <v>110930.41666666667</v>
      </c>
      <c r="S20" s="55">
        <f t="shared" ref="S20:S26" si="21">SUM(P20:R20)</f>
        <v>332791.25</v>
      </c>
      <c r="T20" s="47">
        <f>+$H20</f>
        <v>110930.41666666667</v>
      </c>
      <c r="U20" s="47">
        <f>+$H20</f>
        <v>110930.41666666667</v>
      </c>
      <c r="V20" s="47">
        <f>+$H20</f>
        <v>110930.41666666667</v>
      </c>
      <c r="W20" s="55">
        <f t="shared" ref="W20:W27" si="22">SUM(T20:V20)</f>
        <v>332791.25</v>
      </c>
      <c r="X20" s="92"/>
      <c r="Y20" s="93">
        <f t="shared" ref="Y20:Y27" si="23">SUM(K20,O20,S20,W20)</f>
        <v>1331165</v>
      </c>
    </row>
    <row r="21" spans="1:25" ht="13" x14ac:dyDescent="0.15">
      <c r="A21" s="41"/>
      <c r="B21" s="2" t="s">
        <v>13</v>
      </c>
      <c r="C21" s="40"/>
      <c r="D21" s="53">
        <v>7079226</v>
      </c>
      <c r="E21" s="54"/>
      <c r="F21" s="53">
        <v>118</v>
      </c>
      <c r="G21" s="54"/>
      <c r="H21" s="53">
        <v>0</v>
      </c>
      <c r="I21" s="47">
        <f>(6605409+1017303+25000)/10*0.5</f>
        <v>382385.6</v>
      </c>
      <c r="J21" s="47">
        <f>(6605409+1017303+25000)/10</f>
        <v>764771.2</v>
      </c>
      <c r="K21" s="55">
        <f>SUM(H21:J21)</f>
        <v>1147156.7999999998</v>
      </c>
      <c r="L21" s="47">
        <f t="shared" ref="L21:N23" si="24">+$J21</f>
        <v>764771.2</v>
      </c>
      <c r="M21" s="47">
        <f t="shared" si="24"/>
        <v>764771.2</v>
      </c>
      <c r="N21" s="47">
        <f t="shared" si="24"/>
        <v>764771.2</v>
      </c>
      <c r="O21" s="55">
        <f t="shared" si="20"/>
        <v>2294313.5999999996</v>
      </c>
      <c r="P21" s="47">
        <f t="shared" ref="P21:R23" si="25">+$J21</f>
        <v>764771.2</v>
      </c>
      <c r="Q21" s="47">
        <f t="shared" si="25"/>
        <v>764771.2</v>
      </c>
      <c r="R21" s="47">
        <f t="shared" si="25"/>
        <v>764771.2</v>
      </c>
      <c r="S21" s="55">
        <f t="shared" si="21"/>
        <v>2294313.5999999996</v>
      </c>
      <c r="T21" s="47">
        <f t="shared" ref="T21:U23" si="26">+$J21</f>
        <v>764771.2</v>
      </c>
      <c r="U21" s="47">
        <f t="shared" si="26"/>
        <v>764771.2</v>
      </c>
      <c r="V21" s="47">
        <f>+I21</f>
        <v>382385.6</v>
      </c>
      <c r="W21" s="55">
        <f t="shared" si="22"/>
        <v>1911928</v>
      </c>
      <c r="X21" s="92"/>
      <c r="Y21" s="93">
        <f t="shared" si="23"/>
        <v>7647711.9999999991</v>
      </c>
    </row>
    <row r="22" spans="1:25" ht="13" x14ac:dyDescent="0.15">
      <c r="A22" s="41"/>
      <c r="B22" s="2" t="s">
        <v>14</v>
      </c>
      <c r="C22" s="40"/>
      <c r="D22" s="53">
        <v>2550650</v>
      </c>
      <c r="E22" s="54"/>
      <c r="F22" s="53">
        <v>43</v>
      </c>
      <c r="G22" s="54"/>
      <c r="H22" s="53">
        <v>0</v>
      </c>
      <c r="I22" s="47">
        <f>(1336611+869696+466289)/10*0.5</f>
        <v>133629.79999999999</v>
      </c>
      <c r="J22" s="47">
        <f>(1336611+869696+466289)/10</f>
        <v>267259.59999999998</v>
      </c>
      <c r="K22" s="55">
        <f t="shared" si="19"/>
        <v>400889.39999999997</v>
      </c>
      <c r="L22" s="47">
        <f t="shared" si="24"/>
        <v>267259.59999999998</v>
      </c>
      <c r="M22" s="47">
        <f t="shared" si="24"/>
        <v>267259.59999999998</v>
      </c>
      <c r="N22" s="47">
        <f t="shared" si="24"/>
        <v>267259.59999999998</v>
      </c>
      <c r="O22" s="55">
        <f t="shared" si="20"/>
        <v>801778.79999999993</v>
      </c>
      <c r="P22" s="47">
        <f t="shared" si="25"/>
        <v>267259.59999999998</v>
      </c>
      <c r="Q22" s="47">
        <f t="shared" si="25"/>
        <v>267259.59999999998</v>
      </c>
      <c r="R22" s="47">
        <f t="shared" si="25"/>
        <v>267259.59999999998</v>
      </c>
      <c r="S22" s="55">
        <f t="shared" si="21"/>
        <v>801778.79999999993</v>
      </c>
      <c r="T22" s="47">
        <f t="shared" si="26"/>
        <v>267259.59999999998</v>
      </c>
      <c r="U22" s="47">
        <f t="shared" si="26"/>
        <v>267259.59999999998</v>
      </c>
      <c r="V22" s="47">
        <f>+I22</f>
        <v>133629.79999999999</v>
      </c>
      <c r="W22" s="55">
        <f t="shared" si="22"/>
        <v>668149</v>
      </c>
      <c r="X22" s="92"/>
      <c r="Y22" s="93">
        <f t="shared" si="23"/>
        <v>2672596</v>
      </c>
    </row>
    <row r="23" spans="1:25" ht="13" x14ac:dyDescent="0.15">
      <c r="A23" s="41"/>
      <c r="B23" s="2" t="s">
        <v>15</v>
      </c>
      <c r="C23" s="40"/>
      <c r="D23" s="53">
        <v>2645942</v>
      </c>
      <c r="E23" s="54"/>
      <c r="F23" s="53">
        <f>6+11.5+7+6+3</f>
        <v>33.5</v>
      </c>
      <c r="G23" s="54"/>
      <c r="H23" s="53">
        <f>(834186/12)</f>
        <v>69515.5</v>
      </c>
      <c r="I23" s="53">
        <f>(834186/12)+((1417484+614135)/10*0.5)</f>
        <v>171096.45</v>
      </c>
      <c r="J23" s="53">
        <f>(834186/12)+((1417484+614135)/10)</f>
        <v>272677.40000000002</v>
      </c>
      <c r="K23" s="55">
        <f t="shared" si="19"/>
        <v>513289.35000000003</v>
      </c>
      <c r="L23" s="47">
        <f t="shared" si="24"/>
        <v>272677.40000000002</v>
      </c>
      <c r="M23" s="47">
        <f t="shared" si="24"/>
        <v>272677.40000000002</v>
      </c>
      <c r="N23" s="47">
        <f t="shared" si="24"/>
        <v>272677.40000000002</v>
      </c>
      <c r="O23" s="55">
        <f t="shared" si="20"/>
        <v>818032.20000000007</v>
      </c>
      <c r="P23" s="47">
        <f t="shared" si="25"/>
        <v>272677.40000000002</v>
      </c>
      <c r="Q23" s="47">
        <f t="shared" si="25"/>
        <v>272677.40000000002</v>
      </c>
      <c r="R23" s="47">
        <f t="shared" si="25"/>
        <v>272677.40000000002</v>
      </c>
      <c r="S23" s="55">
        <f t="shared" si="21"/>
        <v>818032.20000000007</v>
      </c>
      <c r="T23" s="47">
        <f t="shared" si="26"/>
        <v>272677.40000000002</v>
      </c>
      <c r="U23" s="47">
        <f t="shared" si="26"/>
        <v>272677.40000000002</v>
      </c>
      <c r="V23" s="53">
        <f>I23</f>
        <v>171096.45</v>
      </c>
      <c r="W23" s="55">
        <f t="shared" si="22"/>
        <v>716451.25</v>
      </c>
      <c r="X23" s="92"/>
      <c r="Y23" s="93">
        <f t="shared" si="23"/>
        <v>2865805</v>
      </c>
    </row>
    <row r="24" spans="1:25" ht="13" x14ac:dyDescent="0.15">
      <c r="A24" s="41"/>
      <c r="B24" s="2" t="s">
        <v>16</v>
      </c>
      <c r="C24" s="40"/>
      <c r="D24" s="53">
        <v>1908226</v>
      </c>
      <c r="E24" s="54"/>
      <c r="F24" s="53">
        <f>6+17</f>
        <v>23</v>
      </c>
      <c r="G24" s="54"/>
      <c r="H24" s="53">
        <f>1983212/12</f>
        <v>165267.66666666666</v>
      </c>
      <c r="I24" s="47">
        <f t="shared" ref="I24:J24" si="27">+$H24</f>
        <v>165267.66666666666</v>
      </c>
      <c r="J24" s="47">
        <f t="shared" si="27"/>
        <v>165267.66666666666</v>
      </c>
      <c r="K24" s="55">
        <f t="shared" si="19"/>
        <v>495803</v>
      </c>
      <c r="L24" s="47">
        <f t="shared" ref="L24:N24" si="28">+$H24</f>
        <v>165267.66666666666</v>
      </c>
      <c r="M24" s="47">
        <f t="shared" si="28"/>
        <v>165267.66666666666</v>
      </c>
      <c r="N24" s="47">
        <f t="shared" si="28"/>
        <v>165267.66666666666</v>
      </c>
      <c r="O24" s="55">
        <f t="shared" si="20"/>
        <v>495803</v>
      </c>
      <c r="P24" s="47">
        <f t="shared" ref="P24:R24" si="29">+$H24</f>
        <v>165267.66666666666</v>
      </c>
      <c r="Q24" s="47">
        <f t="shared" si="29"/>
        <v>165267.66666666666</v>
      </c>
      <c r="R24" s="47">
        <f t="shared" si="29"/>
        <v>165267.66666666666</v>
      </c>
      <c r="S24" s="55">
        <f t="shared" si="21"/>
        <v>495803</v>
      </c>
      <c r="T24" s="47">
        <f>+$H24</f>
        <v>165267.66666666666</v>
      </c>
      <c r="U24" s="47">
        <f>+$H24</f>
        <v>165267.66666666666</v>
      </c>
      <c r="V24" s="47">
        <f>+$H24</f>
        <v>165267.66666666666</v>
      </c>
      <c r="W24" s="55">
        <f t="shared" si="22"/>
        <v>495803</v>
      </c>
      <c r="X24" s="92"/>
      <c r="Y24" s="93">
        <f t="shared" si="23"/>
        <v>1983212</v>
      </c>
    </row>
    <row r="25" spans="1:25" ht="13" x14ac:dyDescent="0.15">
      <c r="A25" s="41"/>
      <c r="B25" s="2" t="s">
        <v>168</v>
      </c>
      <c r="C25" s="40"/>
      <c r="D25" s="53">
        <v>1130302</v>
      </c>
      <c r="E25" s="54"/>
      <c r="F25" s="53">
        <f>6+6+39</f>
        <v>51</v>
      </c>
      <c r="G25" s="54"/>
      <c r="H25" s="53">
        <f>(281627/12)+18000</f>
        <v>41468.916666666672</v>
      </c>
      <c r="I25" s="53">
        <f>(281627/12)+((119700+348132+84000+39830+18810+5280)/10*0.5)</f>
        <v>54256.516666666663</v>
      </c>
      <c r="J25" s="53">
        <f>(281627/12)+((119700+348132+84000+39830+18810+5280)/10)</f>
        <v>85044.116666666669</v>
      </c>
      <c r="K25" s="55">
        <f t="shared" si="19"/>
        <v>180769.55</v>
      </c>
      <c r="L25" s="47">
        <f t="shared" ref="L25:U26" si="30">+$J25</f>
        <v>85044.116666666669</v>
      </c>
      <c r="M25" s="47">
        <f t="shared" si="30"/>
        <v>85044.116666666669</v>
      </c>
      <c r="N25" s="47">
        <f>+$J25+((93250-18000)/2)+(160000/2)</f>
        <v>202669.11666666667</v>
      </c>
      <c r="O25" s="55">
        <f t="shared" si="20"/>
        <v>372757.35</v>
      </c>
      <c r="P25" s="47">
        <f t="shared" si="30"/>
        <v>85044.116666666669</v>
      </c>
      <c r="Q25" s="47">
        <f t="shared" si="30"/>
        <v>85044.116666666669</v>
      </c>
      <c r="R25" s="47">
        <f t="shared" si="30"/>
        <v>85044.116666666669</v>
      </c>
      <c r="S25" s="55">
        <f t="shared" si="21"/>
        <v>255132.35</v>
      </c>
      <c r="T25" s="47">
        <f t="shared" ref="T25:U25" si="31">+$J25</f>
        <v>85044.116666666669</v>
      </c>
      <c r="U25" s="47">
        <f t="shared" si="31"/>
        <v>85044.116666666669</v>
      </c>
      <c r="V25" s="47">
        <f>+I25+((93250-18000)/2)+(160000/2)</f>
        <v>171881.51666666666</v>
      </c>
      <c r="W25" s="55">
        <f t="shared" si="22"/>
        <v>341969.75</v>
      </c>
      <c r="X25" s="92"/>
      <c r="Y25" s="93">
        <f t="shared" si="23"/>
        <v>1150629</v>
      </c>
    </row>
    <row r="26" spans="1:25" ht="13" x14ac:dyDescent="0.15">
      <c r="A26" s="41"/>
      <c r="B26" s="2" t="s">
        <v>169</v>
      </c>
      <c r="C26" s="40"/>
      <c r="D26" s="53">
        <v>3606964</v>
      </c>
      <c r="E26" s="54"/>
      <c r="F26" s="53"/>
      <c r="G26" s="54"/>
      <c r="H26" s="53">
        <f>(3733655+62950)*0.05</f>
        <v>189830.25</v>
      </c>
      <c r="I26" s="53">
        <f>(3733655+62950)*0.07</f>
        <v>265762.35000000003</v>
      </c>
      <c r="J26" s="53">
        <f>(3733655+62950)*0.09</f>
        <v>341694.45</v>
      </c>
      <c r="K26" s="55">
        <f t="shared" si="19"/>
        <v>797287.05</v>
      </c>
      <c r="L26" s="47">
        <f t="shared" si="30"/>
        <v>341694.45</v>
      </c>
      <c r="M26" s="47">
        <f t="shared" si="30"/>
        <v>341694.45</v>
      </c>
      <c r="N26" s="47">
        <f t="shared" si="30"/>
        <v>341694.45</v>
      </c>
      <c r="O26" s="55">
        <f t="shared" si="20"/>
        <v>1025083.3500000001</v>
      </c>
      <c r="P26" s="47">
        <f t="shared" si="30"/>
        <v>341694.45</v>
      </c>
      <c r="Q26" s="47">
        <f t="shared" si="30"/>
        <v>341694.45</v>
      </c>
      <c r="R26" s="47">
        <f t="shared" si="30"/>
        <v>341694.45</v>
      </c>
      <c r="S26" s="55">
        <f t="shared" si="21"/>
        <v>1025083.3500000001</v>
      </c>
      <c r="T26" s="47">
        <f t="shared" si="30"/>
        <v>341694.45</v>
      </c>
      <c r="U26" s="47">
        <f t="shared" si="30"/>
        <v>341694.45</v>
      </c>
      <c r="V26" s="53">
        <f>(3733655+62950)*0.07</f>
        <v>265762.35000000003</v>
      </c>
      <c r="W26" s="55">
        <f t="shared" si="22"/>
        <v>949151.25</v>
      </c>
      <c r="X26" s="92"/>
      <c r="Y26" s="84">
        <f t="shared" si="23"/>
        <v>3796605</v>
      </c>
    </row>
    <row r="27" spans="1:25" ht="13" x14ac:dyDescent="0.15">
      <c r="A27" s="2"/>
      <c r="B27" s="49" t="s">
        <v>17</v>
      </c>
      <c r="C27" s="40"/>
      <c r="D27" s="91">
        <f>SUM(D20:D26)</f>
        <v>20179043</v>
      </c>
      <c r="E27" s="94"/>
      <c r="F27" s="91">
        <f>SUM(F20:F26)</f>
        <v>280.5</v>
      </c>
      <c r="G27" s="94"/>
      <c r="H27" s="91">
        <f>SUM(H20:H26)</f>
        <v>577012.75</v>
      </c>
      <c r="I27" s="91">
        <f>SUM(I20:I26)</f>
        <v>1283328.8</v>
      </c>
      <c r="J27" s="91">
        <f>SUM(J20:J26)</f>
        <v>2007644.85</v>
      </c>
      <c r="K27" s="91">
        <f>SUM(H27:J27)</f>
        <v>3867986.4000000004</v>
      </c>
      <c r="L27" s="91">
        <f>SUM(L20:L26)</f>
        <v>2007644.85</v>
      </c>
      <c r="M27" s="91">
        <f>SUM(M20:M26)</f>
        <v>2007644.85</v>
      </c>
      <c r="N27" s="91">
        <f>SUM(N20:N26)</f>
        <v>2125269.85</v>
      </c>
      <c r="O27" s="91">
        <f>SUM(L27:N27)</f>
        <v>6140559.5500000007</v>
      </c>
      <c r="P27" s="91">
        <f>SUM(P20:P26)</f>
        <v>2007644.85</v>
      </c>
      <c r="Q27" s="91">
        <f>SUM(Q20:Q26)</f>
        <v>2007644.85</v>
      </c>
      <c r="R27" s="91">
        <f>SUM(R20:R26)</f>
        <v>2007644.85</v>
      </c>
      <c r="S27" s="91">
        <f>SUM(P27:R27)</f>
        <v>6022934.5500000007</v>
      </c>
      <c r="T27" s="91">
        <f>SUM(T20:T26)</f>
        <v>2007644.85</v>
      </c>
      <c r="U27" s="91">
        <f>SUM(U20:U26)</f>
        <v>2007644.85</v>
      </c>
      <c r="V27" s="91">
        <f>SUM(V20:V26)</f>
        <v>1400953.8</v>
      </c>
      <c r="W27" s="91">
        <f t="shared" si="22"/>
        <v>5416243.5</v>
      </c>
      <c r="X27" s="92"/>
      <c r="Y27" s="93">
        <f t="shared" si="23"/>
        <v>21447724</v>
      </c>
    </row>
    <row r="28" spans="1:25" ht="13" x14ac:dyDescent="0.15">
      <c r="A28" s="2"/>
      <c r="C28" s="4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2"/>
      <c r="Y28" s="93"/>
    </row>
    <row r="29" spans="1:25" ht="13" x14ac:dyDescent="0.15">
      <c r="A29" s="52" t="s">
        <v>18</v>
      </c>
      <c r="B29" s="2"/>
      <c r="C29" s="4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92"/>
      <c r="Y29" s="93"/>
    </row>
    <row r="30" spans="1:25" ht="13" x14ac:dyDescent="0.15">
      <c r="A30" s="41"/>
      <c r="B30" s="2" t="s">
        <v>170</v>
      </c>
      <c r="C30" s="40"/>
      <c r="D30" s="53">
        <v>455079</v>
      </c>
      <c r="E30" s="54"/>
      <c r="F30" s="54"/>
      <c r="G30" s="54"/>
      <c r="H30" s="53">
        <f>(105000+229420)/12</f>
        <v>27868.333333333332</v>
      </c>
      <c r="I30" s="47">
        <f t="shared" ref="I30:J32" si="32">+$H30</f>
        <v>27868.333333333332</v>
      </c>
      <c r="J30" s="47">
        <f t="shared" si="32"/>
        <v>27868.333333333332</v>
      </c>
      <c r="K30" s="55">
        <f t="shared" ref="K30:K34" si="33">SUM(H30:J30)</f>
        <v>83605</v>
      </c>
      <c r="L30" s="47">
        <f t="shared" ref="L30:N32" si="34">+$H30</f>
        <v>27868.333333333332</v>
      </c>
      <c r="M30" s="47">
        <f t="shared" si="34"/>
        <v>27868.333333333332</v>
      </c>
      <c r="N30" s="47">
        <f t="shared" si="34"/>
        <v>27868.333333333332</v>
      </c>
      <c r="O30" s="55">
        <f t="shared" ref="O30:O34" si="35">SUM(L30:N30)</f>
        <v>83605</v>
      </c>
      <c r="P30" s="47">
        <f t="shared" ref="P30:R32" si="36">+$H30</f>
        <v>27868.333333333332</v>
      </c>
      <c r="Q30" s="47">
        <f t="shared" si="36"/>
        <v>27868.333333333332</v>
      </c>
      <c r="R30" s="47">
        <f t="shared" si="36"/>
        <v>27868.333333333332</v>
      </c>
      <c r="S30" s="55">
        <f t="shared" ref="S30:S34" si="37">SUM(P30:R30)</f>
        <v>83605</v>
      </c>
      <c r="T30" s="47">
        <f t="shared" ref="T30:V32" si="38">+$H30</f>
        <v>27868.333333333332</v>
      </c>
      <c r="U30" s="47">
        <f t="shared" si="38"/>
        <v>27868.333333333332</v>
      </c>
      <c r="V30" s="47">
        <f t="shared" si="38"/>
        <v>27868.333333333332</v>
      </c>
      <c r="W30" s="55">
        <f t="shared" ref="W30:W35" si="39">SUM(T30:V30)</f>
        <v>83605</v>
      </c>
      <c r="X30" s="92"/>
      <c r="Y30" s="93">
        <f t="shared" ref="Y30:Y35" si="40">SUM(K30,O30,S30,W30)</f>
        <v>334420</v>
      </c>
    </row>
    <row r="31" spans="1:25" ht="13" x14ac:dyDescent="0.15">
      <c r="A31" s="41"/>
      <c r="B31" s="2" t="s">
        <v>171</v>
      </c>
      <c r="C31" s="40"/>
      <c r="D31" s="53">
        <v>32820</v>
      </c>
      <c r="E31" s="54"/>
      <c r="F31" s="54"/>
      <c r="G31" s="54"/>
      <c r="H31" s="53">
        <f>32550/12</f>
        <v>2712.5</v>
      </c>
      <c r="I31" s="47">
        <f t="shared" si="32"/>
        <v>2712.5</v>
      </c>
      <c r="J31" s="47">
        <f t="shared" si="32"/>
        <v>2712.5</v>
      </c>
      <c r="K31" s="55">
        <f t="shared" si="33"/>
        <v>8137.5</v>
      </c>
      <c r="L31" s="47">
        <f t="shared" si="34"/>
        <v>2712.5</v>
      </c>
      <c r="M31" s="47">
        <f t="shared" si="34"/>
        <v>2712.5</v>
      </c>
      <c r="N31" s="47">
        <f t="shared" si="34"/>
        <v>2712.5</v>
      </c>
      <c r="O31" s="55">
        <f t="shared" si="35"/>
        <v>8137.5</v>
      </c>
      <c r="P31" s="47">
        <f t="shared" si="36"/>
        <v>2712.5</v>
      </c>
      <c r="Q31" s="47">
        <f t="shared" si="36"/>
        <v>2712.5</v>
      </c>
      <c r="R31" s="47">
        <f t="shared" si="36"/>
        <v>2712.5</v>
      </c>
      <c r="S31" s="55">
        <f t="shared" si="37"/>
        <v>8137.5</v>
      </c>
      <c r="T31" s="47">
        <f t="shared" si="38"/>
        <v>2712.5</v>
      </c>
      <c r="U31" s="47">
        <f t="shared" si="38"/>
        <v>2712.5</v>
      </c>
      <c r="V31" s="47">
        <f t="shared" si="38"/>
        <v>2712.5</v>
      </c>
      <c r="W31" s="55">
        <f t="shared" si="39"/>
        <v>8137.5</v>
      </c>
      <c r="X31" s="92"/>
      <c r="Y31" s="93">
        <f t="shared" si="40"/>
        <v>32550</v>
      </c>
    </row>
    <row r="32" spans="1:25" ht="13" x14ac:dyDescent="0.15">
      <c r="A32" s="41"/>
      <c r="B32" s="2" t="s">
        <v>19</v>
      </c>
      <c r="C32" s="40"/>
      <c r="D32" s="53">
        <v>181775</v>
      </c>
      <c r="E32" s="54"/>
      <c r="F32" s="54"/>
      <c r="G32" s="54"/>
      <c r="H32" s="53">
        <f>185800/12</f>
        <v>15483.333333333334</v>
      </c>
      <c r="I32" s="47">
        <f t="shared" si="32"/>
        <v>15483.333333333334</v>
      </c>
      <c r="J32" s="47">
        <f t="shared" si="32"/>
        <v>15483.333333333334</v>
      </c>
      <c r="K32" s="55">
        <f t="shared" si="33"/>
        <v>46450</v>
      </c>
      <c r="L32" s="47">
        <f t="shared" si="34"/>
        <v>15483.333333333334</v>
      </c>
      <c r="M32" s="47">
        <f t="shared" si="34"/>
        <v>15483.333333333334</v>
      </c>
      <c r="N32" s="47">
        <f t="shared" si="34"/>
        <v>15483.333333333334</v>
      </c>
      <c r="O32" s="55">
        <f t="shared" si="35"/>
        <v>46450</v>
      </c>
      <c r="P32" s="47">
        <f t="shared" si="36"/>
        <v>15483.333333333334</v>
      </c>
      <c r="Q32" s="47">
        <f t="shared" si="36"/>
        <v>15483.333333333334</v>
      </c>
      <c r="R32" s="47">
        <f t="shared" si="36"/>
        <v>15483.333333333334</v>
      </c>
      <c r="S32" s="55">
        <f t="shared" si="37"/>
        <v>46450</v>
      </c>
      <c r="T32" s="47">
        <f t="shared" si="38"/>
        <v>15483.333333333334</v>
      </c>
      <c r="U32" s="47">
        <f t="shared" si="38"/>
        <v>15483.333333333334</v>
      </c>
      <c r="V32" s="47">
        <f t="shared" si="38"/>
        <v>15483.333333333334</v>
      </c>
      <c r="W32" s="55">
        <f t="shared" si="39"/>
        <v>46450</v>
      </c>
      <c r="X32" s="92"/>
      <c r="Y32" s="93">
        <f t="shared" si="40"/>
        <v>185800</v>
      </c>
    </row>
    <row r="33" spans="1:25" ht="13" x14ac:dyDescent="0.15">
      <c r="A33" s="41"/>
      <c r="B33" s="41" t="s">
        <v>32</v>
      </c>
      <c r="C33" s="40"/>
      <c r="D33" s="53">
        <v>920000</v>
      </c>
      <c r="E33" s="54"/>
      <c r="F33" s="54"/>
      <c r="G33" s="54"/>
      <c r="H33" s="53">
        <v>0</v>
      </c>
      <c r="I33" s="53">
        <f>1000000/10*0.5</f>
        <v>50000</v>
      </c>
      <c r="J33" s="53">
        <f>1000000/10</f>
        <v>100000</v>
      </c>
      <c r="K33" s="55">
        <f>SUM(H33:J33)</f>
        <v>150000</v>
      </c>
      <c r="L33" s="47">
        <f>+$J33</f>
        <v>100000</v>
      </c>
      <c r="M33" s="47">
        <f t="shared" ref="M33:N33" si="41">+$J33</f>
        <v>100000</v>
      </c>
      <c r="N33" s="47">
        <f t="shared" si="41"/>
        <v>100000</v>
      </c>
      <c r="O33" s="55">
        <f>SUM(L33:N33)</f>
        <v>300000</v>
      </c>
      <c r="P33" s="47">
        <f t="shared" ref="P33:R33" si="42">+$J33</f>
        <v>100000</v>
      </c>
      <c r="Q33" s="47">
        <f t="shared" si="42"/>
        <v>100000</v>
      </c>
      <c r="R33" s="47">
        <f t="shared" si="42"/>
        <v>100000</v>
      </c>
      <c r="S33" s="55">
        <f>SUM(P33:R33)</f>
        <v>300000</v>
      </c>
      <c r="T33" s="47">
        <f t="shared" ref="T33:U33" si="43">+$J33</f>
        <v>100000</v>
      </c>
      <c r="U33" s="47">
        <f t="shared" si="43"/>
        <v>100000</v>
      </c>
      <c r="V33" s="47">
        <f>+I33</f>
        <v>50000</v>
      </c>
      <c r="W33" s="55">
        <f>SUM(T33:V33)</f>
        <v>250000</v>
      </c>
      <c r="X33" s="92"/>
      <c r="Y33" s="93">
        <f>SUM(K33,O33,S33,W33)</f>
        <v>1000000</v>
      </c>
    </row>
    <row r="34" spans="1:25" ht="13" x14ac:dyDescent="0.15">
      <c r="A34" s="41"/>
      <c r="B34" s="2" t="s">
        <v>172</v>
      </c>
      <c r="C34" s="40"/>
      <c r="D34" s="53">
        <v>687165</v>
      </c>
      <c r="E34" s="54"/>
      <c r="F34" s="54"/>
      <c r="G34" s="54"/>
      <c r="H34" s="53">
        <f>(113779+61050+6800+384470)/12</f>
        <v>47174.916666666664</v>
      </c>
      <c r="I34" s="47">
        <f>+$H34</f>
        <v>47174.916666666664</v>
      </c>
      <c r="J34" s="47">
        <f>+$H34</f>
        <v>47174.916666666664</v>
      </c>
      <c r="K34" s="55">
        <f t="shared" si="33"/>
        <v>141524.75</v>
      </c>
      <c r="L34" s="47">
        <f t="shared" ref="L34:N34" si="44">+$H34</f>
        <v>47174.916666666664</v>
      </c>
      <c r="M34" s="47">
        <f t="shared" si="44"/>
        <v>47174.916666666664</v>
      </c>
      <c r="N34" s="47">
        <f t="shared" si="44"/>
        <v>47174.916666666664</v>
      </c>
      <c r="O34" s="55">
        <f t="shared" si="35"/>
        <v>141524.75</v>
      </c>
      <c r="P34" s="47">
        <f t="shared" ref="P34:R34" si="45">+$H34</f>
        <v>47174.916666666664</v>
      </c>
      <c r="Q34" s="47">
        <f t="shared" si="45"/>
        <v>47174.916666666664</v>
      </c>
      <c r="R34" s="47">
        <f t="shared" si="45"/>
        <v>47174.916666666664</v>
      </c>
      <c r="S34" s="55">
        <f t="shared" si="37"/>
        <v>141524.75</v>
      </c>
      <c r="T34" s="47">
        <f t="shared" ref="T34:V34" si="46">+$H34</f>
        <v>47174.916666666664</v>
      </c>
      <c r="U34" s="47">
        <f t="shared" si="46"/>
        <v>47174.916666666664</v>
      </c>
      <c r="V34" s="47">
        <f t="shared" si="46"/>
        <v>47174.916666666664</v>
      </c>
      <c r="W34" s="55">
        <f t="shared" si="39"/>
        <v>141524.75</v>
      </c>
      <c r="X34" s="92"/>
      <c r="Y34" s="84">
        <f t="shared" si="40"/>
        <v>566099</v>
      </c>
    </row>
    <row r="35" spans="1:25" ht="13" x14ac:dyDescent="0.15">
      <c r="A35" s="2"/>
      <c r="B35" s="49" t="s">
        <v>20</v>
      </c>
      <c r="C35" s="40"/>
      <c r="D35" s="91">
        <f>SUM(D30:D34)</f>
        <v>2276839</v>
      </c>
      <c r="E35" s="94"/>
      <c r="F35" s="94"/>
      <c r="G35" s="94"/>
      <c r="H35" s="91">
        <f>SUM(H30:H34)</f>
        <v>93239.083333333328</v>
      </c>
      <c r="I35" s="91">
        <f>SUM(I30:I34)</f>
        <v>143239.08333333331</v>
      </c>
      <c r="J35" s="91">
        <f>SUM(J30:J34)</f>
        <v>193239.08333333331</v>
      </c>
      <c r="K35" s="91">
        <f>SUM(H35:J35)</f>
        <v>429717.24999999994</v>
      </c>
      <c r="L35" s="91">
        <f>SUM(L30:L34)</f>
        <v>193239.08333333331</v>
      </c>
      <c r="M35" s="91">
        <f>SUM(M30:M34)</f>
        <v>193239.08333333331</v>
      </c>
      <c r="N35" s="91">
        <f>SUM(N30:N34)</f>
        <v>193239.08333333331</v>
      </c>
      <c r="O35" s="91">
        <f>SUM(L35:N35)</f>
        <v>579717.25</v>
      </c>
      <c r="P35" s="91">
        <f>SUM(P30:P34)</f>
        <v>193239.08333333331</v>
      </c>
      <c r="Q35" s="91">
        <f>SUM(Q30:Q34)</f>
        <v>193239.08333333331</v>
      </c>
      <c r="R35" s="91">
        <f>SUM(R30:R34)</f>
        <v>193239.08333333331</v>
      </c>
      <c r="S35" s="91">
        <f>SUM(P35:R35)</f>
        <v>579717.25</v>
      </c>
      <c r="T35" s="91">
        <f>SUM(T30:T34)</f>
        <v>193239.08333333331</v>
      </c>
      <c r="U35" s="91">
        <f>SUM(U30:U34)</f>
        <v>193239.08333333331</v>
      </c>
      <c r="V35" s="91">
        <f>SUM(V30:V34)</f>
        <v>143239.08333333331</v>
      </c>
      <c r="W35" s="91">
        <f t="shared" si="39"/>
        <v>529717.25</v>
      </c>
      <c r="X35" s="92"/>
      <c r="Y35" s="93">
        <f t="shared" si="40"/>
        <v>2118869</v>
      </c>
    </row>
    <row r="36" spans="1:25" ht="13" x14ac:dyDescent="0.15">
      <c r="A36" s="46"/>
      <c r="B36" s="46"/>
      <c r="C36" s="40"/>
      <c r="D36" s="55"/>
      <c r="E36" s="54"/>
      <c r="F36" s="54"/>
      <c r="G36" s="54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92"/>
      <c r="Y36" s="93"/>
    </row>
    <row r="37" spans="1:25" ht="13" x14ac:dyDescent="0.15">
      <c r="A37" s="56" t="s">
        <v>21</v>
      </c>
      <c r="B37" s="41"/>
      <c r="C37" s="40"/>
      <c r="D37" s="55"/>
      <c r="E37" s="54"/>
      <c r="F37" s="54"/>
      <c r="G37" s="5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92"/>
      <c r="Y37" s="93"/>
    </row>
    <row r="38" spans="1:25" ht="13" x14ac:dyDescent="0.15">
      <c r="A38" s="41"/>
      <c r="B38" s="41" t="s">
        <v>22</v>
      </c>
      <c r="C38" s="40"/>
      <c r="D38" s="53">
        <v>2776942</v>
      </c>
      <c r="E38" s="54"/>
      <c r="F38" s="54"/>
      <c r="G38" s="54"/>
      <c r="H38" s="53">
        <f>2813856/12</f>
        <v>234488</v>
      </c>
      <c r="I38" s="47">
        <f t="shared" ref="I38:J43" si="47">+$H38</f>
        <v>234488</v>
      </c>
      <c r="J38" s="47">
        <f t="shared" si="47"/>
        <v>234488</v>
      </c>
      <c r="K38" s="55">
        <f t="shared" ref="K38:K43" si="48">SUM(H38:J38)</f>
        <v>703464</v>
      </c>
      <c r="L38" s="47">
        <f t="shared" ref="L38:N43" si="49">+$H38</f>
        <v>234488</v>
      </c>
      <c r="M38" s="47">
        <f t="shared" si="49"/>
        <v>234488</v>
      </c>
      <c r="N38" s="47">
        <f t="shared" si="49"/>
        <v>234488</v>
      </c>
      <c r="O38" s="55">
        <f t="shared" ref="O38:O43" si="50">SUM(L38:N38)</f>
        <v>703464</v>
      </c>
      <c r="P38" s="47">
        <f t="shared" ref="P38:R43" si="51">+$H38</f>
        <v>234488</v>
      </c>
      <c r="Q38" s="47">
        <f t="shared" si="51"/>
        <v>234488</v>
      </c>
      <c r="R38" s="47">
        <f t="shared" si="51"/>
        <v>234488</v>
      </c>
      <c r="S38" s="55">
        <f t="shared" ref="S38:S43" si="52">SUM(P38:R38)</f>
        <v>703464</v>
      </c>
      <c r="T38" s="47">
        <f t="shared" ref="T38:V43" si="53">+$H38</f>
        <v>234488</v>
      </c>
      <c r="U38" s="47">
        <f t="shared" si="53"/>
        <v>234488</v>
      </c>
      <c r="V38" s="47">
        <f>+$H38</f>
        <v>234488</v>
      </c>
      <c r="W38" s="55">
        <f t="shared" ref="W38:W44" si="54">SUM(T38:V38)</f>
        <v>703464</v>
      </c>
      <c r="X38" s="92"/>
      <c r="Y38" s="93">
        <f t="shared" ref="Y38:Y44" si="55">SUM(K38,O38,S38,W38)</f>
        <v>2813856</v>
      </c>
    </row>
    <row r="39" spans="1:25" ht="13" x14ac:dyDescent="0.15">
      <c r="A39" s="41"/>
      <c r="B39" s="41" t="s">
        <v>156</v>
      </c>
      <c r="C39" s="40"/>
      <c r="D39" s="80">
        <v>519905</v>
      </c>
      <c r="E39" s="54"/>
      <c r="F39" s="54"/>
      <c r="G39" s="54"/>
      <c r="H39" s="80">
        <f>526737/12</f>
        <v>43894.75</v>
      </c>
      <c r="I39" s="47">
        <f t="shared" si="47"/>
        <v>43894.75</v>
      </c>
      <c r="J39" s="47">
        <f t="shared" si="47"/>
        <v>43894.75</v>
      </c>
      <c r="K39" s="55">
        <f t="shared" si="48"/>
        <v>131684.25</v>
      </c>
      <c r="L39" s="47">
        <f t="shared" si="49"/>
        <v>43894.75</v>
      </c>
      <c r="M39" s="47">
        <f t="shared" si="49"/>
        <v>43894.75</v>
      </c>
      <c r="N39" s="47">
        <f t="shared" si="49"/>
        <v>43894.75</v>
      </c>
      <c r="O39" s="55">
        <f t="shared" si="50"/>
        <v>131684.25</v>
      </c>
      <c r="P39" s="47">
        <f t="shared" si="51"/>
        <v>43894.75</v>
      </c>
      <c r="Q39" s="47">
        <f t="shared" si="51"/>
        <v>43894.75</v>
      </c>
      <c r="R39" s="47">
        <f t="shared" si="51"/>
        <v>43894.75</v>
      </c>
      <c r="S39" s="55">
        <f t="shared" si="52"/>
        <v>131684.25</v>
      </c>
      <c r="T39" s="47">
        <f t="shared" si="53"/>
        <v>43894.75</v>
      </c>
      <c r="U39" s="47">
        <f t="shared" si="53"/>
        <v>43894.75</v>
      </c>
      <c r="V39" s="47">
        <f t="shared" si="53"/>
        <v>43894.75</v>
      </c>
      <c r="W39" s="55">
        <f t="shared" si="54"/>
        <v>131684.25</v>
      </c>
      <c r="X39" s="92"/>
      <c r="Y39" s="93">
        <f t="shared" si="55"/>
        <v>526737</v>
      </c>
    </row>
    <row r="40" spans="1:25" ht="13" x14ac:dyDescent="0.15">
      <c r="A40" s="41"/>
      <c r="B40" s="41" t="s">
        <v>157</v>
      </c>
      <c r="C40" s="40"/>
      <c r="D40" s="80">
        <v>0</v>
      </c>
      <c r="E40" s="54"/>
      <c r="F40" s="54"/>
      <c r="G40" s="54"/>
      <c r="H40" s="80">
        <v>0</v>
      </c>
      <c r="I40" s="47">
        <f t="shared" si="47"/>
        <v>0</v>
      </c>
      <c r="J40" s="47">
        <f t="shared" si="47"/>
        <v>0</v>
      </c>
      <c r="K40" s="55">
        <f t="shared" si="48"/>
        <v>0</v>
      </c>
      <c r="L40" s="47">
        <f t="shared" si="49"/>
        <v>0</v>
      </c>
      <c r="M40" s="47">
        <f t="shared" si="49"/>
        <v>0</v>
      </c>
      <c r="N40" s="47">
        <f t="shared" si="49"/>
        <v>0</v>
      </c>
      <c r="O40" s="55">
        <f t="shared" si="50"/>
        <v>0</v>
      </c>
      <c r="P40" s="47">
        <f t="shared" si="51"/>
        <v>0</v>
      </c>
      <c r="Q40" s="47">
        <f t="shared" si="51"/>
        <v>0</v>
      </c>
      <c r="R40" s="47">
        <f t="shared" si="51"/>
        <v>0</v>
      </c>
      <c r="S40" s="55">
        <f t="shared" si="52"/>
        <v>0</v>
      </c>
      <c r="T40" s="47">
        <f t="shared" si="53"/>
        <v>0</v>
      </c>
      <c r="U40" s="47">
        <f t="shared" si="53"/>
        <v>0</v>
      </c>
      <c r="V40" s="47">
        <f t="shared" si="53"/>
        <v>0</v>
      </c>
      <c r="W40" s="55">
        <f t="shared" si="54"/>
        <v>0</v>
      </c>
      <c r="X40" s="92"/>
      <c r="Y40" s="93">
        <f t="shared" si="55"/>
        <v>0</v>
      </c>
    </row>
    <row r="41" spans="1:25" ht="13" x14ac:dyDescent="0.15">
      <c r="A41" s="41"/>
      <c r="B41" s="41" t="s">
        <v>23</v>
      </c>
      <c r="C41" s="40"/>
      <c r="D41" s="53">
        <v>253637</v>
      </c>
      <c r="E41" s="54"/>
      <c r="F41" s="54"/>
      <c r="G41" s="54"/>
      <c r="H41" s="53">
        <f>332800/12</f>
        <v>27733.333333333332</v>
      </c>
      <c r="I41" s="47">
        <f t="shared" si="47"/>
        <v>27733.333333333332</v>
      </c>
      <c r="J41" s="47">
        <f t="shared" si="47"/>
        <v>27733.333333333332</v>
      </c>
      <c r="K41" s="55">
        <f t="shared" si="48"/>
        <v>83200</v>
      </c>
      <c r="L41" s="47">
        <f t="shared" si="49"/>
        <v>27733.333333333332</v>
      </c>
      <c r="M41" s="47">
        <f t="shared" si="49"/>
        <v>27733.333333333332</v>
      </c>
      <c r="N41" s="47">
        <f t="shared" si="49"/>
        <v>27733.333333333332</v>
      </c>
      <c r="O41" s="55">
        <f t="shared" si="50"/>
        <v>83200</v>
      </c>
      <c r="P41" s="47">
        <f t="shared" si="51"/>
        <v>27733.333333333332</v>
      </c>
      <c r="Q41" s="47">
        <f t="shared" si="51"/>
        <v>27733.333333333332</v>
      </c>
      <c r="R41" s="47">
        <f t="shared" si="51"/>
        <v>27733.333333333332</v>
      </c>
      <c r="S41" s="55">
        <f t="shared" si="52"/>
        <v>83200</v>
      </c>
      <c r="T41" s="47">
        <f t="shared" si="53"/>
        <v>27733.333333333332</v>
      </c>
      <c r="U41" s="47">
        <f t="shared" si="53"/>
        <v>27733.333333333332</v>
      </c>
      <c r="V41" s="47">
        <f t="shared" si="53"/>
        <v>27733.333333333332</v>
      </c>
      <c r="W41" s="55">
        <f t="shared" si="54"/>
        <v>83200</v>
      </c>
      <c r="X41" s="92"/>
      <c r="Y41" s="93">
        <f t="shared" si="55"/>
        <v>332800</v>
      </c>
    </row>
    <row r="42" spans="1:25" ht="13" x14ac:dyDescent="0.15">
      <c r="A42" s="41"/>
      <c r="B42" s="41" t="s">
        <v>24</v>
      </c>
      <c r="C42" s="40"/>
      <c r="D42" s="53">
        <v>739417</v>
      </c>
      <c r="E42" s="54"/>
      <c r="F42" s="54"/>
      <c r="G42" s="54"/>
      <c r="H42" s="53">
        <f>776957/12</f>
        <v>64746.416666666664</v>
      </c>
      <c r="I42" s="47">
        <f t="shared" si="47"/>
        <v>64746.416666666664</v>
      </c>
      <c r="J42" s="47">
        <f t="shared" si="47"/>
        <v>64746.416666666664</v>
      </c>
      <c r="K42" s="55">
        <f t="shared" si="48"/>
        <v>194239.25</v>
      </c>
      <c r="L42" s="47">
        <f t="shared" si="49"/>
        <v>64746.416666666664</v>
      </c>
      <c r="M42" s="47">
        <f t="shared" si="49"/>
        <v>64746.416666666664</v>
      </c>
      <c r="N42" s="47">
        <f t="shared" si="49"/>
        <v>64746.416666666664</v>
      </c>
      <c r="O42" s="55">
        <f t="shared" si="50"/>
        <v>194239.25</v>
      </c>
      <c r="P42" s="47">
        <f t="shared" si="51"/>
        <v>64746.416666666664</v>
      </c>
      <c r="Q42" s="47">
        <f t="shared" si="51"/>
        <v>64746.416666666664</v>
      </c>
      <c r="R42" s="47">
        <f t="shared" si="51"/>
        <v>64746.416666666664</v>
      </c>
      <c r="S42" s="55">
        <f t="shared" si="52"/>
        <v>194239.25</v>
      </c>
      <c r="T42" s="47">
        <f t="shared" si="53"/>
        <v>64746.416666666664</v>
      </c>
      <c r="U42" s="47">
        <f t="shared" si="53"/>
        <v>64746.416666666664</v>
      </c>
      <c r="V42" s="47">
        <f t="shared" si="53"/>
        <v>64746.416666666664</v>
      </c>
      <c r="W42" s="55">
        <f t="shared" si="54"/>
        <v>194239.25</v>
      </c>
      <c r="X42" s="92"/>
      <c r="Y42" s="93">
        <f t="shared" si="55"/>
        <v>776957</v>
      </c>
    </row>
    <row r="43" spans="1:25" ht="13" x14ac:dyDescent="0.15">
      <c r="A43" s="41"/>
      <c r="B43" s="41" t="s">
        <v>158</v>
      </c>
      <c r="C43" s="40"/>
      <c r="D43" s="53">
        <v>567379</v>
      </c>
      <c r="E43" s="54"/>
      <c r="F43" s="54"/>
      <c r="G43" s="54"/>
      <c r="H43" s="53">
        <f>(396300+103320+57248+47500)/12</f>
        <v>50364</v>
      </c>
      <c r="I43" s="47">
        <f t="shared" si="47"/>
        <v>50364</v>
      </c>
      <c r="J43" s="47">
        <f t="shared" si="47"/>
        <v>50364</v>
      </c>
      <c r="K43" s="55">
        <f t="shared" si="48"/>
        <v>151092</v>
      </c>
      <c r="L43" s="47">
        <f t="shared" si="49"/>
        <v>50364</v>
      </c>
      <c r="M43" s="47">
        <f t="shared" si="49"/>
        <v>50364</v>
      </c>
      <c r="N43" s="47">
        <f t="shared" si="49"/>
        <v>50364</v>
      </c>
      <c r="O43" s="55">
        <f t="shared" si="50"/>
        <v>151092</v>
      </c>
      <c r="P43" s="47">
        <f t="shared" si="51"/>
        <v>50364</v>
      </c>
      <c r="Q43" s="47">
        <f t="shared" si="51"/>
        <v>50364</v>
      </c>
      <c r="R43" s="47">
        <f t="shared" si="51"/>
        <v>50364</v>
      </c>
      <c r="S43" s="55">
        <f t="shared" si="52"/>
        <v>151092</v>
      </c>
      <c r="T43" s="47">
        <f t="shared" si="53"/>
        <v>50364</v>
      </c>
      <c r="U43" s="47">
        <f t="shared" si="53"/>
        <v>50364</v>
      </c>
      <c r="V43" s="47">
        <f>+$H43</f>
        <v>50364</v>
      </c>
      <c r="W43" s="55">
        <f t="shared" si="54"/>
        <v>151092</v>
      </c>
      <c r="X43" s="92"/>
      <c r="Y43" s="84">
        <f>SUM(K43,O43,S43,W43)</f>
        <v>604368</v>
      </c>
    </row>
    <row r="44" spans="1:25" ht="13" x14ac:dyDescent="0.15">
      <c r="A44" s="41"/>
      <c r="B44" s="49" t="s">
        <v>25</v>
      </c>
      <c r="C44" s="40"/>
      <c r="D44" s="91">
        <f>SUM(D38:D43)</f>
        <v>4857280</v>
      </c>
      <c r="E44" s="94"/>
      <c r="F44" s="94"/>
      <c r="G44" s="94"/>
      <c r="H44" s="91">
        <f>SUM(H38:H43)</f>
        <v>421226.5</v>
      </c>
      <c r="I44" s="91">
        <f>SUM(I38:I43)</f>
        <v>421226.5</v>
      </c>
      <c r="J44" s="91">
        <f>SUM(J38:J43)</f>
        <v>421226.5</v>
      </c>
      <c r="K44" s="91">
        <f>SUM(H44:J44)</f>
        <v>1263679.5</v>
      </c>
      <c r="L44" s="91">
        <f>SUM(L38:L43)</f>
        <v>421226.5</v>
      </c>
      <c r="M44" s="91">
        <f>SUM(M38:M43)</f>
        <v>421226.5</v>
      </c>
      <c r="N44" s="91">
        <f>SUM(N38:N43)</f>
        <v>421226.5</v>
      </c>
      <c r="O44" s="91">
        <f>SUM(L44:N44)</f>
        <v>1263679.5</v>
      </c>
      <c r="P44" s="91">
        <f>SUM(P38:P43)</f>
        <v>421226.5</v>
      </c>
      <c r="Q44" s="91">
        <f>SUM(Q38:Q43)</f>
        <v>421226.5</v>
      </c>
      <c r="R44" s="91">
        <f>SUM(R38:R43)</f>
        <v>421226.5</v>
      </c>
      <c r="S44" s="91">
        <f>SUM(P44:R44)</f>
        <v>1263679.5</v>
      </c>
      <c r="T44" s="91">
        <f>SUM(T38:T43)</f>
        <v>421226.5</v>
      </c>
      <c r="U44" s="91">
        <f>SUM(U38:U43)</f>
        <v>421226.5</v>
      </c>
      <c r="V44" s="91">
        <f>SUM(V38:V43)</f>
        <v>421226.5</v>
      </c>
      <c r="W44" s="91">
        <f t="shared" si="54"/>
        <v>1263679.5</v>
      </c>
      <c r="X44" s="92"/>
      <c r="Y44" s="93">
        <f t="shared" si="55"/>
        <v>5054718</v>
      </c>
    </row>
    <row r="45" spans="1:25" ht="13" x14ac:dyDescent="0.15">
      <c r="A45" s="41"/>
      <c r="B45" s="46"/>
      <c r="C45" s="4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2"/>
      <c r="Y45" s="93"/>
    </row>
    <row r="46" spans="1:25" ht="13" x14ac:dyDescent="0.15">
      <c r="A46" s="56" t="s">
        <v>160</v>
      </c>
      <c r="B46" s="41"/>
      <c r="C46" s="40"/>
      <c r="D46" s="55"/>
      <c r="E46" s="54"/>
      <c r="F46" s="54"/>
      <c r="G46" s="54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2"/>
      <c r="Y46" s="93"/>
    </row>
    <row r="47" spans="1:25" ht="13" x14ac:dyDescent="0.15">
      <c r="A47" s="41"/>
      <c r="B47" s="41" t="s">
        <v>26</v>
      </c>
      <c r="C47" s="40"/>
      <c r="D47" s="53">
        <v>42811</v>
      </c>
      <c r="E47" s="54"/>
      <c r="F47" s="54"/>
      <c r="G47" s="54"/>
      <c r="H47" s="53">
        <f>45209/12</f>
        <v>3767.4166666666665</v>
      </c>
      <c r="I47" s="47">
        <f t="shared" ref="I47:J58" si="56">+$H47</f>
        <v>3767.4166666666665</v>
      </c>
      <c r="J47" s="47">
        <f t="shared" si="56"/>
        <v>3767.4166666666665</v>
      </c>
      <c r="K47" s="55">
        <f t="shared" ref="K47:K59" si="57">SUM(H47:J47)</f>
        <v>11302.25</v>
      </c>
      <c r="L47" s="47">
        <f t="shared" ref="L47:N58" si="58">+$H47</f>
        <v>3767.4166666666665</v>
      </c>
      <c r="M47" s="47">
        <f t="shared" si="58"/>
        <v>3767.4166666666665</v>
      </c>
      <c r="N47" s="47">
        <f t="shared" si="58"/>
        <v>3767.4166666666665</v>
      </c>
      <c r="O47" s="55">
        <f t="shared" ref="O47:O59" si="59">SUM(L47:N47)</f>
        <v>11302.25</v>
      </c>
      <c r="P47" s="47">
        <f t="shared" ref="P47:R58" si="60">+$H47</f>
        <v>3767.4166666666665</v>
      </c>
      <c r="Q47" s="47">
        <f t="shared" si="60"/>
        <v>3767.4166666666665</v>
      </c>
      <c r="R47" s="47">
        <f t="shared" si="60"/>
        <v>3767.4166666666665</v>
      </c>
      <c r="S47" s="55">
        <f t="shared" ref="S47:S59" si="61">SUM(P47:R47)</f>
        <v>11302.25</v>
      </c>
      <c r="T47" s="47">
        <f t="shared" ref="T47:V58" si="62">+$H47</f>
        <v>3767.4166666666665</v>
      </c>
      <c r="U47" s="47">
        <f t="shared" si="62"/>
        <v>3767.4166666666665</v>
      </c>
      <c r="V47" s="47">
        <f t="shared" ref="V47:V52" si="63">+$H47</f>
        <v>3767.4166666666665</v>
      </c>
      <c r="W47" s="55">
        <f t="shared" ref="W47:W59" si="64">SUM(T47:V47)</f>
        <v>11302.25</v>
      </c>
      <c r="X47" s="92"/>
      <c r="Y47" s="93">
        <f t="shared" ref="Y47:Y59" si="65">SUM(K47,O47,S47,W47)</f>
        <v>45209</v>
      </c>
    </row>
    <row r="48" spans="1:25" ht="13" x14ac:dyDescent="0.15">
      <c r="A48" s="41"/>
      <c r="B48" s="41" t="s">
        <v>27</v>
      </c>
      <c r="C48" s="40"/>
      <c r="D48" s="53">
        <v>109805</v>
      </c>
      <c r="E48" s="54"/>
      <c r="F48" s="54"/>
      <c r="G48" s="54"/>
      <c r="H48" s="53">
        <f>105224/12</f>
        <v>8768.6666666666661</v>
      </c>
      <c r="I48" s="47">
        <f t="shared" si="56"/>
        <v>8768.6666666666661</v>
      </c>
      <c r="J48" s="47">
        <f t="shared" si="56"/>
        <v>8768.6666666666661</v>
      </c>
      <c r="K48" s="55">
        <f t="shared" si="57"/>
        <v>26306</v>
      </c>
      <c r="L48" s="47">
        <f t="shared" si="58"/>
        <v>8768.6666666666661</v>
      </c>
      <c r="M48" s="47">
        <f t="shared" si="58"/>
        <v>8768.6666666666661</v>
      </c>
      <c r="N48" s="47">
        <f t="shared" si="58"/>
        <v>8768.6666666666661</v>
      </c>
      <c r="O48" s="55">
        <f t="shared" si="59"/>
        <v>26306</v>
      </c>
      <c r="P48" s="47">
        <f t="shared" si="60"/>
        <v>8768.6666666666661</v>
      </c>
      <c r="Q48" s="47">
        <f t="shared" si="60"/>
        <v>8768.6666666666661</v>
      </c>
      <c r="R48" s="47">
        <f t="shared" si="60"/>
        <v>8768.6666666666661</v>
      </c>
      <c r="S48" s="55">
        <f t="shared" si="61"/>
        <v>26306</v>
      </c>
      <c r="T48" s="47">
        <f t="shared" si="62"/>
        <v>8768.6666666666661</v>
      </c>
      <c r="U48" s="47">
        <f t="shared" si="62"/>
        <v>8768.6666666666661</v>
      </c>
      <c r="V48" s="47">
        <f t="shared" si="63"/>
        <v>8768.6666666666661</v>
      </c>
      <c r="W48" s="55">
        <f t="shared" si="64"/>
        <v>26306</v>
      </c>
      <c r="X48" s="92"/>
      <c r="Y48" s="93">
        <f t="shared" si="65"/>
        <v>105224</v>
      </c>
    </row>
    <row r="49" spans="1:25" ht="13" x14ac:dyDescent="0.15">
      <c r="A49" s="41"/>
      <c r="B49" s="41" t="s">
        <v>28</v>
      </c>
      <c r="C49" s="40"/>
      <c r="D49" s="53">
        <v>120082</v>
      </c>
      <c r="E49" s="54"/>
      <c r="F49" s="54"/>
      <c r="G49" s="54"/>
      <c r="H49" s="53">
        <f>120441/12</f>
        <v>10036.75</v>
      </c>
      <c r="I49" s="47">
        <f t="shared" si="56"/>
        <v>10036.75</v>
      </c>
      <c r="J49" s="47">
        <f t="shared" si="56"/>
        <v>10036.75</v>
      </c>
      <c r="K49" s="55">
        <f t="shared" si="57"/>
        <v>30110.25</v>
      </c>
      <c r="L49" s="47">
        <f t="shared" si="58"/>
        <v>10036.75</v>
      </c>
      <c r="M49" s="47">
        <f t="shared" si="58"/>
        <v>10036.75</v>
      </c>
      <c r="N49" s="47">
        <f t="shared" si="58"/>
        <v>10036.75</v>
      </c>
      <c r="O49" s="55">
        <f t="shared" si="59"/>
        <v>30110.25</v>
      </c>
      <c r="P49" s="47">
        <f t="shared" si="60"/>
        <v>10036.75</v>
      </c>
      <c r="Q49" s="47">
        <f t="shared" si="60"/>
        <v>10036.75</v>
      </c>
      <c r="R49" s="47">
        <f t="shared" si="60"/>
        <v>10036.75</v>
      </c>
      <c r="S49" s="55">
        <f t="shared" si="61"/>
        <v>30110.25</v>
      </c>
      <c r="T49" s="47">
        <f t="shared" si="62"/>
        <v>10036.75</v>
      </c>
      <c r="U49" s="47">
        <f t="shared" si="62"/>
        <v>10036.75</v>
      </c>
      <c r="V49" s="47">
        <f t="shared" si="63"/>
        <v>10036.75</v>
      </c>
      <c r="W49" s="55">
        <f t="shared" si="64"/>
        <v>30110.25</v>
      </c>
      <c r="X49" s="92"/>
      <c r="Y49" s="93">
        <f t="shared" si="65"/>
        <v>120441</v>
      </c>
    </row>
    <row r="50" spans="1:25" ht="13" x14ac:dyDescent="0.15">
      <c r="A50" s="41"/>
      <c r="B50" s="41" t="s">
        <v>29</v>
      </c>
      <c r="C50" s="40"/>
      <c r="D50" s="53">
        <v>249940</v>
      </c>
      <c r="E50" s="54"/>
      <c r="F50" s="54"/>
      <c r="G50" s="54"/>
      <c r="H50" s="53">
        <f>248528/12</f>
        <v>20710.666666666668</v>
      </c>
      <c r="I50" s="47">
        <f t="shared" si="56"/>
        <v>20710.666666666668</v>
      </c>
      <c r="J50" s="47">
        <f t="shared" si="56"/>
        <v>20710.666666666668</v>
      </c>
      <c r="K50" s="55">
        <f t="shared" si="57"/>
        <v>62132</v>
      </c>
      <c r="L50" s="47">
        <f t="shared" si="58"/>
        <v>20710.666666666668</v>
      </c>
      <c r="M50" s="47">
        <f t="shared" si="58"/>
        <v>20710.666666666668</v>
      </c>
      <c r="N50" s="47">
        <f t="shared" si="58"/>
        <v>20710.666666666668</v>
      </c>
      <c r="O50" s="55">
        <f t="shared" si="59"/>
        <v>62132</v>
      </c>
      <c r="P50" s="47">
        <f t="shared" si="60"/>
        <v>20710.666666666668</v>
      </c>
      <c r="Q50" s="47">
        <f t="shared" si="60"/>
        <v>20710.666666666668</v>
      </c>
      <c r="R50" s="47">
        <f t="shared" si="60"/>
        <v>20710.666666666668</v>
      </c>
      <c r="S50" s="55">
        <f t="shared" si="61"/>
        <v>62132</v>
      </c>
      <c r="T50" s="47">
        <f t="shared" si="62"/>
        <v>20710.666666666668</v>
      </c>
      <c r="U50" s="47">
        <f t="shared" si="62"/>
        <v>20710.666666666668</v>
      </c>
      <c r="V50" s="47">
        <f t="shared" si="63"/>
        <v>20710.666666666668</v>
      </c>
      <c r="W50" s="55">
        <f t="shared" si="64"/>
        <v>62132</v>
      </c>
      <c r="X50" s="92"/>
      <c r="Y50" s="93">
        <f t="shared" si="65"/>
        <v>248528</v>
      </c>
    </row>
    <row r="51" spans="1:25" ht="13" x14ac:dyDescent="0.15">
      <c r="A51" s="41"/>
      <c r="B51" s="41" t="s">
        <v>30</v>
      </c>
      <c r="C51" s="40"/>
      <c r="D51" s="80">
        <v>84643</v>
      </c>
      <c r="E51" s="54"/>
      <c r="F51" s="54"/>
      <c r="G51" s="54"/>
      <c r="H51" s="80">
        <f>99865/12</f>
        <v>8322.0833333333339</v>
      </c>
      <c r="I51" s="47">
        <f t="shared" si="56"/>
        <v>8322.0833333333339</v>
      </c>
      <c r="J51" s="47">
        <f t="shared" si="56"/>
        <v>8322.0833333333339</v>
      </c>
      <c r="K51" s="55">
        <f t="shared" si="57"/>
        <v>24966.25</v>
      </c>
      <c r="L51" s="47">
        <f t="shared" si="58"/>
        <v>8322.0833333333339</v>
      </c>
      <c r="M51" s="47">
        <f t="shared" si="58"/>
        <v>8322.0833333333339</v>
      </c>
      <c r="N51" s="47">
        <f t="shared" si="58"/>
        <v>8322.0833333333339</v>
      </c>
      <c r="O51" s="55">
        <f t="shared" si="59"/>
        <v>24966.25</v>
      </c>
      <c r="P51" s="47">
        <f t="shared" si="60"/>
        <v>8322.0833333333339</v>
      </c>
      <c r="Q51" s="47">
        <f t="shared" si="60"/>
        <v>8322.0833333333339</v>
      </c>
      <c r="R51" s="47">
        <f t="shared" si="60"/>
        <v>8322.0833333333339</v>
      </c>
      <c r="S51" s="55">
        <f t="shared" si="61"/>
        <v>24966.25</v>
      </c>
      <c r="T51" s="47">
        <f t="shared" si="62"/>
        <v>8322.0833333333339</v>
      </c>
      <c r="U51" s="47">
        <f t="shared" si="62"/>
        <v>8322.0833333333339</v>
      </c>
      <c r="V51" s="47">
        <f t="shared" si="63"/>
        <v>8322.0833333333339</v>
      </c>
      <c r="W51" s="55">
        <f t="shared" ref="W51:W56" si="66">SUM(T51:V51)</f>
        <v>24966.25</v>
      </c>
      <c r="X51" s="92"/>
      <c r="Y51" s="93">
        <f t="shared" ref="Y51:Y56" si="67">SUM(K51,O51,S51,W51)</f>
        <v>99865</v>
      </c>
    </row>
    <row r="52" spans="1:25" ht="13" x14ac:dyDescent="0.15">
      <c r="A52" s="41"/>
      <c r="B52" s="41" t="s">
        <v>31</v>
      </c>
      <c r="C52" s="40"/>
      <c r="D52" s="80">
        <v>0</v>
      </c>
      <c r="E52" s="54"/>
      <c r="F52" s="54"/>
      <c r="G52" s="54"/>
      <c r="H52" s="80">
        <v>0</v>
      </c>
      <c r="I52" s="47">
        <f t="shared" si="56"/>
        <v>0</v>
      </c>
      <c r="J52" s="47">
        <f t="shared" si="56"/>
        <v>0</v>
      </c>
      <c r="K52" s="55">
        <f t="shared" si="57"/>
        <v>0</v>
      </c>
      <c r="L52" s="47">
        <f t="shared" si="58"/>
        <v>0</v>
      </c>
      <c r="M52" s="47">
        <f t="shared" si="58"/>
        <v>0</v>
      </c>
      <c r="N52" s="47">
        <f t="shared" si="58"/>
        <v>0</v>
      </c>
      <c r="O52" s="55">
        <f t="shared" si="59"/>
        <v>0</v>
      </c>
      <c r="P52" s="47">
        <f t="shared" si="60"/>
        <v>0</v>
      </c>
      <c r="Q52" s="47">
        <f t="shared" si="60"/>
        <v>0</v>
      </c>
      <c r="R52" s="47">
        <f t="shared" si="60"/>
        <v>0</v>
      </c>
      <c r="S52" s="55">
        <f t="shared" si="61"/>
        <v>0</v>
      </c>
      <c r="T52" s="47">
        <f t="shared" si="62"/>
        <v>0</v>
      </c>
      <c r="U52" s="47">
        <f t="shared" si="62"/>
        <v>0</v>
      </c>
      <c r="V52" s="47">
        <f t="shared" si="63"/>
        <v>0</v>
      </c>
      <c r="W52" s="55">
        <f t="shared" si="66"/>
        <v>0</v>
      </c>
      <c r="X52" s="92"/>
      <c r="Y52" s="93">
        <f t="shared" si="67"/>
        <v>0</v>
      </c>
    </row>
    <row r="53" spans="1:25" ht="13" x14ac:dyDescent="0.15">
      <c r="A53" s="41"/>
      <c r="B53" s="41" t="s">
        <v>161</v>
      </c>
      <c r="C53" s="40"/>
      <c r="D53" s="80">
        <v>417810</v>
      </c>
      <c r="E53" s="54"/>
      <c r="F53" s="54"/>
      <c r="G53" s="54"/>
      <c r="H53" s="80">
        <f>247620/12</f>
        <v>20635</v>
      </c>
      <c r="I53" s="47">
        <f t="shared" si="56"/>
        <v>20635</v>
      </c>
      <c r="J53" s="47">
        <f t="shared" si="56"/>
        <v>20635</v>
      </c>
      <c r="K53" s="55">
        <f t="shared" si="57"/>
        <v>61905</v>
      </c>
      <c r="L53" s="47">
        <f t="shared" si="58"/>
        <v>20635</v>
      </c>
      <c r="M53" s="47">
        <f t="shared" si="58"/>
        <v>20635</v>
      </c>
      <c r="N53" s="47">
        <f t="shared" si="58"/>
        <v>20635</v>
      </c>
      <c r="O53" s="55">
        <f t="shared" si="59"/>
        <v>61905</v>
      </c>
      <c r="P53" s="47">
        <f t="shared" si="60"/>
        <v>20635</v>
      </c>
      <c r="Q53" s="47">
        <f t="shared" si="60"/>
        <v>20635</v>
      </c>
      <c r="R53" s="47">
        <f t="shared" si="60"/>
        <v>20635</v>
      </c>
      <c r="S53" s="55">
        <f t="shared" si="61"/>
        <v>61905</v>
      </c>
      <c r="T53" s="47">
        <f t="shared" si="62"/>
        <v>20635</v>
      </c>
      <c r="U53" s="47">
        <f t="shared" si="62"/>
        <v>20635</v>
      </c>
      <c r="V53" s="47">
        <f t="shared" si="62"/>
        <v>20635</v>
      </c>
      <c r="W53" s="55">
        <f t="shared" si="66"/>
        <v>61905</v>
      </c>
      <c r="X53" s="92"/>
      <c r="Y53" s="93">
        <f t="shared" si="67"/>
        <v>247620</v>
      </c>
    </row>
    <row r="54" spans="1:25" ht="13" x14ac:dyDescent="0.15">
      <c r="A54" s="41"/>
      <c r="B54" s="41" t="s">
        <v>162</v>
      </c>
      <c r="C54" s="40"/>
      <c r="D54" s="80">
        <v>268432</v>
      </c>
      <c r="E54" s="54"/>
      <c r="F54" s="54"/>
      <c r="G54" s="54"/>
      <c r="H54" s="80">
        <f>278037/2</f>
        <v>139018.5</v>
      </c>
      <c r="I54" s="47">
        <v>0</v>
      </c>
      <c r="J54" s="47">
        <v>0</v>
      </c>
      <c r="K54" s="55">
        <f t="shared" si="57"/>
        <v>139018.5</v>
      </c>
      <c r="L54" s="80">
        <f>H54</f>
        <v>139018.5</v>
      </c>
      <c r="M54" s="47">
        <v>0</v>
      </c>
      <c r="N54" s="47">
        <v>0</v>
      </c>
      <c r="O54" s="55">
        <f t="shared" si="59"/>
        <v>139018.5</v>
      </c>
      <c r="P54" s="47">
        <v>0</v>
      </c>
      <c r="Q54" s="47">
        <v>0</v>
      </c>
      <c r="R54" s="47">
        <v>0</v>
      </c>
      <c r="S54" s="55">
        <f t="shared" si="61"/>
        <v>0</v>
      </c>
      <c r="T54" s="47">
        <v>0</v>
      </c>
      <c r="U54" s="47">
        <v>0</v>
      </c>
      <c r="V54" s="47">
        <v>0</v>
      </c>
      <c r="W54" s="55">
        <f t="shared" si="66"/>
        <v>0</v>
      </c>
      <c r="X54" s="92"/>
      <c r="Y54" s="93">
        <f t="shared" si="67"/>
        <v>278037</v>
      </c>
    </row>
    <row r="55" spans="1:25" ht="13" x14ac:dyDescent="0.15">
      <c r="A55" s="41"/>
      <c r="B55" s="41" t="s">
        <v>33</v>
      </c>
      <c r="C55" s="40"/>
      <c r="D55" s="80">
        <v>0</v>
      </c>
      <c r="E55" s="54"/>
      <c r="F55" s="54"/>
      <c r="G55" s="54"/>
      <c r="H55" s="80">
        <v>0</v>
      </c>
      <c r="I55" s="47">
        <f t="shared" si="56"/>
        <v>0</v>
      </c>
      <c r="J55" s="47">
        <f t="shared" si="56"/>
        <v>0</v>
      </c>
      <c r="K55" s="55">
        <f t="shared" si="57"/>
        <v>0</v>
      </c>
      <c r="L55" s="47">
        <f t="shared" si="58"/>
        <v>0</v>
      </c>
      <c r="M55" s="47">
        <f t="shared" si="58"/>
        <v>0</v>
      </c>
      <c r="N55" s="47">
        <f t="shared" si="58"/>
        <v>0</v>
      </c>
      <c r="O55" s="55">
        <f t="shared" si="59"/>
        <v>0</v>
      </c>
      <c r="P55" s="47">
        <f t="shared" si="60"/>
        <v>0</v>
      </c>
      <c r="Q55" s="47">
        <f t="shared" si="60"/>
        <v>0</v>
      </c>
      <c r="R55" s="47">
        <f t="shared" si="60"/>
        <v>0</v>
      </c>
      <c r="S55" s="55">
        <f t="shared" si="61"/>
        <v>0</v>
      </c>
      <c r="T55" s="47">
        <f t="shared" si="62"/>
        <v>0</v>
      </c>
      <c r="U55" s="47">
        <f t="shared" si="62"/>
        <v>0</v>
      </c>
      <c r="V55" s="47">
        <f t="shared" si="62"/>
        <v>0</v>
      </c>
      <c r="W55" s="55">
        <f t="shared" si="66"/>
        <v>0</v>
      </c>
      <c r="X55" s="92"/>
      <c r="Y55" s="93">
        <f t="shared" si="67"/>
        <v>0</v>
      </c>
    </row>
    <row r="56" spans="1:25" ht="13" x14ac:dyDescent="0.15">
      <c r="A56" s="41"/>
      <c r="B56" s="41" t="s">
        <v>163</v>
      </c>
      <c r="C56" s="40"/>
      <c r="D56" s="80">
        <v>0</v>
      </c>
      <c r="E56" s="54"/>
      <c r="F56" s="54"/>
      <c r="G56" s="54"/>
      <c r="H56" s="80">
        <v>0</v>
      </c>
      <c r="I56" s="47">
        <f t="shared" si="56"/>
        <v>0</v>
      </c>
      <c r="J56" s="47">
        <f t="shared" si="56"/>
        <v>0</v>
      </c>
      <c r="K56" s="55">
        <f t="shared" si="57"/>
        <v>0</v>
      </c>
      <c r="L56" s="47">
        <f t="shared" si="58"/>
        <v>0</v>
      </c>
      <c r="M56" s="47">
        <f t="shared" si="58"/>
        <v>0</v>
      </c>
      <c r="N56" s="47">
        <f t="shared" si="58"/>
        <v>0</v>
      </c>
      <c r="O56" s="55">
        <f t="shared" si="59"/>
        <v>0</v>
      </c>
      <c r="P56" s="47">
        <f t="shared" si="60"/>
        <v>0</v>
      </c>
      <c r="Q56" s="47">
        <f t="shared" si="60"/>
        <v>0</v>
      </c>
      <c r="R56" s="47">
        <f t="shared" si="60"/>
        <v>0</v>
      </c>
      <c r="S56" s="55">
        <f t="shared" si="61"/>
        <v>0</v>
      </c>
      <c r="T56" s="47">
        <f t="shared" si="62"/>
        <v>0</v>
      </c>
      <c r="U56" s="47">
        <f t="shared" si="62"/>
        <v>0</v>
      </c>
      <c r="V56" s="47">
        <f t="shared" si="62"/>
        <v>0</v>
      </c>
      <c r="W56" s="55">
        <f t="shared" si="66"/>
        <v>0</v>
      </c>
      <c r="X56" s="92"/>
      <c r="Y56" s="93">
        <f t="shared" si="67"/>
        <v>0</v>
      </c>
    </row>
    <row r="57" spans="1:25" ht="13" x14ac:dyDescent="0.15">
      <c r="A57" s="41"/>
      <c r="B57" s="41" t="s">
        <v>164</v>
      </c>
      <c r="C57" s="40"/>
      <c r="D57" s="53">
        <v>243667</v>
      </c>
      <c r="E57" s="54"/>
      <c r="F57" s="54"/>
      <c r="G57" s="54"/>
      <c r="H57" s="53">
        <f>(266731+7761+84640)/12</f>
        <v>29927.666666666668</v>
      </c>
      <c r="I57" s="47">
        <f t="shared" si="56"/>
        <v>29927.666666666668</v>
      </c>
      <c r="J57" s="47">
        <f t="shared" si="56"/>
        <v>29927.666666666668</v>
      </c>
      <c r="K57" s="55">
        <f t="shared" si="57"/>
        <v>89783</v>
      </c>
      <c r="L57" s="47">
        <f t="shared" si="58"/>
        <v>29927.666666666668</v>
      </c>
      <c r="M57" s="47">
        <f t="shared" si="58"/>
        <v>29927.666666666668</v>
      </c>
      <c r="N57" s="47">
        <f t="shared" si="58"/>
        <v>29927.666666666668</v>
      </c>
      <c r="O57" s="55">
        <f t="shared" si="59"/>
        <v>89783</v>
      </c>
      <c r="P57" s="47">
        <f t="shared" si="60"/>
        <v>29927.666666666668</v>
      </c>
      <c r="Q57" s="47">
        <f t="shared" si="60"/>
        <v>29927.666666666668</v>
      </c>
      <c r="R57" s="47">
        <f t="shared" si="60"/>
        <v>29927.666666666668</v>
      </c>
      <c r="S57" s="55">
        <f t="shared" si="61"/>
        <v>89783</v>
      </c>
      <c r="T57" s="47">
        <f t="shared" si="62"/>
        <v>29927.666666666668</v>
      </c>
      <c r="U57" s="47">
        <f t="shared" si="62"/>
        <v>29927.666666666668</v>
      </c>
      <c r="V57" s="47">
        <f t="shared" si="62"/>
        <v>29927.666666666668</v>
      </c>
      <c r="W57" s="55">
        <f t="shared" si="64"/>
        <v>89783</v>
      </c>
      <c r="X57" s="92"/>
      <c r="Y57" s="93">
        <f t="shared" si="65"/>
        <v>359132</v>
      </c>
    </row>
    <row r="58" spans="1:25" ht="13" x14ac:dyDescent="0.15">
      <c r="A58" s="41"/>
      <c r="B58" s="41" t="s">
        <v>34</v>
      </c>
      <c r="C58" s="40"/>
      <c r="D58" s="53">
        <v>554004</v>
      </c>
      <c r="E58" s="54"/>
      <c r="F58" s="54"/>
      <c r="G58" s="54"/>
      <c r="H58" s="53">
        <f>(15000+177900+39764+57500+21450+7250+7000+106780+40000+9500+94474)/12</f>
        <v>48051.5</v>
      </c>
      <c r="I58" s="47">
        <f t="shared" si="56"/>
        <v>48051.5</v>
      </c>
      <c r="J58" s="47">
        <f t="shared" si="56"/>
        <v>48051.5</v>
      </c>
      <c r="K58" s="55">
        <f t="shared" si="57"/>
        <v>144154.5</v>
      </c>
      <c r="L58" s="47">
        <f t="shared" si="58"/>
        <v>48051.5</v>
      </c>
      <c r="M58" s="47">
        <f t="shared" si="58"/>
        <v>48051.5</v>
      </c>
      <c r="N58" s="47">
        <f t="shared" si="58"/>
        <v>48051.5</v>
      </c>
      <c r="O58" s="55">
        <f t="shared" si="59"/>
        <v>144154.5</v>
      </c>
      <c r="P58" s="47">
        <f t="shared" si="60"/>
        <v>48051.5</v>
      </c>
      <c r="Q58" s="47">
        <f t="shared" si="60"/>
        <v>48051.5</v>
      </c>
      <c r="R58" s="47">
        <f t="shared" si="60"/>
        <v>48051.5</v>
      </c>
      <c r="S58" s="55">
        <f t="shared" si="61"/>
        <v>144154.5</v>
      </c>
      <c r="T58" s="47">
        <f t="shared" si="62"/>
        <v>48051.5</v>
      </c>
      <c r="U58" s="47">
        <f t="shared" si="62"/>
        <v>48051.5</v>
      </c>
      <c r="V58" s="47">
        <f>+$H58</f>
        <v>48051.5</v>
      </c>
      <c r="W58" s="55">
        <f t="shared" si="64"/>
        <v>144154.5</v>
      </c>
      <c r="X58" s="92"/>
      <c r="Y58" s="84">
        <f t="shared" si="65"/>
        <v>576618</v>
      </c>
    </row>
    <row r="59" spans="1:25" ht="13" x14ac:dyDescent="0.15">
      <c r="A59" s="41"/>
      <c r="B59" s="49" t="s">
        <v>35</v>
      </c>
      <c r="C59" s="40"/>
      <c r="D59" s="91">
        <f>SUM(D47:D58)</f>
        <v>2091194</v>
      </c>
      <c r="E59" s="94"/>
      <c r="F59" s="94"/>
      <c r="G59" s="94"/>
      <c r="H59" s="91">
        <f>SUM(H47:H58)</f>
        <v>289238.25</v>
      </c>
      <c r="I59" s="91">
        <f>SUM(I47:I58)</f>
        <v>150219.75</v>
      </c>
      <c r="J59" s="91">
        <f>SUM(J47:J58)</f>
        <v>150219.75</v>
      </c>
      <c r="K59" s="91">
        <f t="shared" si="57"/>
        <v>589677.75</v>
      </c>
      <c r="L59" s="91">
        <f>SUM(L47:L58)</f>
        <v>289238.25</v>
      </c>
      <c r="M59" s="91">
        <f>SUM(M47:M58)</f>
        <v>150219.75</v>
      </c>
      <c r="N59" s="91">
        <f>SUM(N47:N58)</f>
        <v>150219.75</v>
      </c>
      <c r="O59" s="91">
        <f t="shared" si="59"/>
        <v>589677.75</v>
      </c>
      <c r="P59" s="91">
        <f>SUM(P47:P58)</f>
        <v>150219.75</v>
      </c>
      <c r="Q59" s="91">
        <f>SUM(Q47:Q58)</f>
        <v>150219.75</v>
      </c>
      <c r="R59" s="91">
        <f>SUM(R47:R58)</f>
        <v>150219.75</v>
      </c>
      <c r="S59" s="91">
        <f t="shared" si="61"/>
        <v>450659.25</v>
      </c>
      <c r="T59" s="91">
        <f>SUM(T47:T58)</f>
        <v>150219.75</v>
      </c>
      <c r="U59" s="91">
        <f>SUM(U47:U58)</f>
        <v>150219.75</v>
      </c>
      <c r="V59" s="91">
        <f>SUM(V47:V58)</f>
        <v>150219.75</v>
      </c>
      <c r="W59" s="91">
        <f t="shared" si="64"/>
        <v>450659.25</v>
      </c>
      <c r="X59" s="92"/>
      <c r="Y59" s="93">
        <f t="shared" si="65"/>
        <v>2080674</v>
      </c>
    </row>
    <row r="60" spans="1:25" ht="13" x14ac:dyDescent="0.15">
      <c r="A60" s="41"/>
      <c r="B60" s="46"/>
      <c r="C60" s="40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2"/>
      <c r="Y60" s="93"/>
    </row>
    <row r="61" spans="1:25" ht="13" x14ac:dyDescent="0.15">
      <c r="A61" s="41"/>
      <c r="B61" s="49" t="s">
        <v>165</v>
      </c>
      <c r="C61" s="40"/>
      <c r="D61" s="91">
        <v>29404356</v>
      </c>
      <c r="E61" s="94"/>
      <c r="F61" s="94"/>
      <c r="G61" s="94"/>
      <c r="H61" s="91">
        <f t="shared" ref="H61:W61" si="68">H59+H44+H35+H27</f>
        <v>1380716.5833333335</v>
      </c>
      <c r="I61" s="91">
        <f t="shared" si="68"/>
        <v>1998014.1333333333</v>
      </c>
      <c r="J61" s="91">
        <f t="shared" si="68"/>
        <v>2772330.1833333336</v>
      </c>
      <c r="K61" s="91">
        <f t="shared" si="68"/>
        <v>6151060.9000000004</v>
      </c>
      <c r="L61" s="91">
        <f t="shared" si="68"/>
        <v>2911348.6833333336</v>
      </c>
      <c r="M61" s="91">
        <f t="shared" si="68"/>
        <v>2772330.1833333336</v>
      </c>
      <c r="N61" s="91">
        <f t="shared" si="68"/>
        <v>2889955.1833333336</v>
      </c>
      <c r="O61" s="91">
        <f t="shared" si="68"/>
        <v>8573634.0500000007</v>
      </c>
      <c r="P61" s="91">
        <f t="shared" si="68"/>
        <v>2772330.1833333336</v>
      </c>
      <c r="Q61" s="91">
        <f t="shared" si="68"/>
        <v>2772330.1833333336</v>
      </c>
      <c r="R61" s="91">
        <f t="shared" si="68"/>
        <v>2772330.1833333336</v>
      </c>
      <c r="S61" s="91">
        <f t="shared" si="68"/>
        <v>8316990.5500000007</v>
      </c>
      <c r="T61" s="91">
        <f t="shared" si="68"/>
        <v>2772330.1833333336</v>
      </c>
      <c r="U61" s="91">
        <f t="shared" si="68"/>
        <v>2772330.1833333336</v>
      </c>
      <c r="V61" s="91">
        <f t="shared" si="68"/>
        <v>2115639.1333333333</v>
      </c>
      <c r="W61" s="96">
        <f t="shared" si="68"/>
        <v>7660299.5</v>
      </c>
      <c r="X61" s="92"/>
      <c r="Y61" s="84">
        <f>SUM(K61,O61,S61,W61)</f>
        <v>30701985</v>
      </c>
    </row>
    <row r="62" spans="1:25" ht="12.75" customHeight="1" x14ac:dyDescent="0.15">
      <c r="A62" s="50" t="s">
        <v>166</v>
      </c>
      <c r="B62" s="49"/>
      <c r="C62" s="40"/>
      <c r="D62" s="91">
        <f>D16-D61</f>
        <v>421404</v>
      </c>
      <c r="E62" s="94"/>
      <c r="F62" s="94"/>
      <c r="G62" s="94"/>
      <c r="H62" s="91">
        <f t="shared" ref="H62:W62" si="69">H16-H61</f>
        <v>-1176838.3333333335</v>
      </c>
      <c r="I62" s="91">
        <f t="shared" si="69"/>
        <v>-373064.93333333335</v>
      </c>
      <c r="J62" s="91">
        <f t="shared" si="69"/>
        <v>279939.96666666633</v>
      </c>
      <c r="K62" s="91">
        <f t="shared" si="69"/>
        <v>-1269963.3000000007</v>
      </c>
      <c r="L62" s="91">
        <f t="shared" si="69"/>
        <v>134671.46666666633</v>
      </c>
      <c r="M62" s="91">
        <f t="shared" si="69"/>
        <v>273689.96666666633</v>
      </c>
      <c r="N62" s="91">
        <f t="shared" si="69"/>
        <v>162314.96666666633</v>
      </c>
      <c r="O62" s="91">
        <f t="shared" si="69"/>
        <v>570676.39999999851</v>
      </c>
      <c r="P62" s="91">
        <f t="shared" si="69"/>
        <v>273689.96666666633</v>
      </c>
      <c r="Q62" s="91">
        <f t="shared" si="69"/>
        <v>273689.96666666633</v>
      </c>
      <c r="R62" s="91">
        <f t="shared" si="69"/>
        <v>279939.96666666633</v>
      </c>
      <c r="S62" s="91">
        <f t="shared" si="69"/>
        <v>827319.89999999851</v>
      </c>
      <c r="T62" s="91">
        <f t="shared" si="69"/>
        <v>273689.96666666633</v>
      </c>
      <c r="U62" s="91">
        <f t="shared" si="69"/>
        <v>273689.96666666633</v>
      </c>
      <c r="V62" s="91">
        <f t="shared" si="69"/>
        <v>-484439.93333333335</v>
      </c>
      <c r="W62" s="91">
        <f t="shared" si="69"/>
        <v>62940</v>
      </c>
      <c r="X62" s="92"/>
      <c r="Y62" s="93">
        <f t="shared" ref="Y62" si="70">SUM(K62,O62,S62,W62)</f>
        <v>190972.99999999627</v>
      </c>
    </row>
    <row r="63" spans="1:25" ht="12.75" customHeight="1" x14ac:dyDescent="0.15">
      <c r="A63" s="50"/>
      <c r="B63" s="46"/>
      <c r="C63" s="40"/>
      <c r="D63" s="97"/>
      <c r="E63" s="94"/>
      <c r="F63" s="94"/>
      <c r="G63" s="94"/>
      <c r="H63" s="97"/>
      <c r="I63" s="97"/>
      <c r="J63" s="97"/>
      <c r="K63" s="94"/>
      <c r="L63" s="97"/>
      <c r="M63" s="97"/>
      <c r="N63" s="97"/>
      <c r="O63" s="94"/>
      <c r="P63" s="97"/>
      <c r="Q63" s="97"/>
      <c r="R63" s="97"/>
      <c r="S63" s="94"/>
      <c r="T63" s="97"/>
      <c r="U63" s="97"/>
      <c r="V63" s="97"/>
      <c r="W63" s="94"/>
      <c r="X63" s="92"/>
      <c r="Y63" s="93"/>
    </row>
    <row r="64" spans="1:25" ht="14" thickBot="1" x14ac:dyDescent="0.2">
      <c r="A64" s="50" t="s">
        <v>36</v>
      </c>
      <c r="B64" s="49"/>
      <c r="C64" s="40"/>
      <c r="D64" s="99">
        <f>D62</f>
        <v>421404</v>
      </c>
      <c r="E64" s="94"/>
      <c r="F64" s="94"/>
      <c r="G64" s="94"/>
      <c r="H64" s="99">
        <f>H62</f>
        <v>-1176838.3333333335</v>
      </c>
      <c r="I64" s="99">
        <f t="shared" ref="I64:W64" si="71">I62</f>
        <v>-373064.93333333335</v>
      </c>
      <c r="J64" s="99">
        <f t="shared" si="71"/>
        <v>279939.96666666633</v>
      </c>
      <c r="K64" s="99">
        <f t="shared" si="71"/>
        <v>-1269963.3000000007</v>
      </c>
      <c r="L64" s="99">
        <f t="shared" si="71"/>
        <v>134671.46666666633</v>
      </c>
      <c r="M64" s="99">
        <f t="shared" si="71"/>
        <v>273689.96666666633</v>
      </c>
      <c r="N64" s="99">
        <f t="shared" si="71"/>
        <v>162314.96666666633</v>
      </c>
      <c r="O64" s="99">
        <f t="shared" si="71"/>
        <v>570676.39999999851</v>
      </c>
      <c r="P64" s="99">
        <f t="shared" si="71"/>
        <v>273689.96666666633</v>
      </c>
      <c r="Q64" s="99">
        <f t="shared" si="71"/>
        <v>273689.96666666633</v>
      </c>
      <c r="R64" s="99">
        <f t="shared" si="71"/>
        <v>279939.96666666633</v>
      </c>
      <c r="S64" s="99">
        <f t="shared" si="71"/>
        <v>827319.89999999851</v>
      </c>
      <c r="T64" s="99">
        <f t="shared" si="71"/>
        <v>273689.96666666633</v>
      </c>
      <c r="U64" s="99">
        <f t="shared" si="71"/>
        <v>273689.96666666633</v>
      </c>
      <c r="V64" s="99">
        <f t="shared" si="71"/>
        <v>-484439.93333333335</v>
      </c>
      <c r="W64" s="99">
        <f t="shared" si="71"/>
        <v>62940</v>
      </c>
      <c r="X64" s="92"/>
      <c r="Y64" s="100">
        <f>SUM(K64,O64,S64,W64)</f>
        <v>190972.99999999627</v>
      </c>
    </row>
    <row r="65" spans="4:25" ht="12.75" customHeight="1" thickTop="1" x14ac:dyDescent="0.15">
      <c r="D65" s="93"/>
      <c r="E65" s="54"/>
      <c r="F65" s="98"/>
      <c r="G65" s="54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4:25" ht="12.75" customHeight="1" x14ac:dyDescent="0.15">
      <c r="D66" s="93"/>
      <c r="E66" s="54"/>
      <c r="F66" s="98"/>
      <c r="G66" s="54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4:25" ht="12.75" customHeight="1" x14ac:dyDescent="0.15">
      <c r="D67" s="93"/>
      <c r="E67" s="54"/>
      <c r="F67" s="98"/>
      <c r="G67" s="54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</row>
    <row r="68" spans="4:25" ht="12.75" customHeight="1" x14ac:dyDescent="0.15">
      <c r="D68" s="93"/>
      <c r="E68" s="54"/>
      <c r="F68" s="98"/>
      <c r="G68" s="54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4:25" ht="12.75" customHeight="1" x14ac:dyDescent="0.15">
      <c r="D69" s="93"/>
      <c r="E69" s="54"/>
      <c r="F69" s="98"/>
      <c r="G69" s="54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4:25" ht="12.75" customHeight="1" x14ac:dyDescent="0.15">
      <c r="D70" s="93"/>
      <c r="E70" s="54"/>
      <c r="F70" s="98"/>
      <c r="G70" s="54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</row>
    <row r="71" spans="4:25" ht="12.75" customHeight="1" x14ac:dyDescent="0.15">
      <c r="D71" s="93"/>
      <c r="E71" s="54"/>
      <c r="F71" s="98"/>
      <c r="G71" s="54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  <ignoredErrors>
    <ignoredError sqref="K10:N11 O7:S11 T10:V11 I33:J33 K30:O35 P33:R33 S30:V35 K20:U24 K38:T53 K55:T59 K54:L54 M54:T54 K12:N16 O13:S16 O12:R12 S12 T12:V12 K26:U27 K25:M25 O25 S25:U25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102"/>
  <sheetViews>
    <sheetView showGridLines="0" workbookViewId="0">
      <selection activeCell="W80" sqref="W80"/>
    </sheetView>
  </sheetViews>
  <sheetFormatPr baseColWidth="10" defaultColWidth="9.1640625" defaultRowHeight="12.75" customHeight="1" x14ac:dyDescent="0.15"/>
  <cols>
    <col min="1" max="1" width="1.83203125" style="38" customWidth="1"/>
    <col min="2" max="2" width="44.33203125" style="38" bestFit="1" customWidth="1"/>
    <col min="3" max="3" width="2.83203125" style="38" customWidth="1"/>
    <col min="4" max="4" width="10.6640625" style="38" customWidth="1"/>
    <col min="5" max="5" width="2.83203125" style="2" customWidth="1"/>
    <col min="6" max="8" width="10.6640625" style="38" hidden="1" customWidth="1"/>
    <col min="9" max="9" width="10.6640625" style="38" customWidth="1"/>
    <col min="10" max="12" width="10.6640625" style="38" hidden="1" customWidth="1"/>
    <col min="13" max="13" width="10.6640625" style="38" customWidth="1"/>
    <col min="14" max="16" width="10.6640625" style="38" hidden="1" customWidth="1"/>
    <col min="17" max="17" width="10.6640625" style="38" customWidth="1"/>
    <col min="18" max="20" width="10.6640625" style="38" hidden="1" customWidth="1"/>
    <col min="21" max="21" width="10.6640625" style="38" customWidth="1"/>
    <col min="22" max="22" width="2.6640625" style="38" customWidth="1"/>
    <col min="23" max="23" width="9.83203125" style="38" bestFit="1" customWidth="1"/>
    <col min="24" max="24" width="12" style="38" bestFit="1" customWidth="1"/>
    <col min="25" max="25" width="12.5" style="38" bestFit="1" customWidth="1"/>
    <col min="26" max="26" width="1.83203125" style="38" customWidth="1"/>
    <col min="27" max="27" width="11.1640625" style="38" bestFit="1" customWidth="1"/>
    <col min="28" max="16384" width="9.1640625" style="38"/>
  </cols>
  <sheetData>
    <row r="1" spans="1:29" ht="12.75" customHeight="1" x14ac:dyDescent="0.15">
      <c r="A1" s="51" t="str">
        <f>'Cover Sheet'!A2</f>
        <v>Center City Public Charter Schools</v>
      </c>
    </row>
    <row r="2" spans="1:29" ht="13" x14ac:dyDescent="0.15">
      <c r="A2" s="38" t="str">
        <f>'Cover Sheet'!A8&amp;" "&amp;'Cover Sheet'!$A$9&amp;" Financials"</f>
        <v>FY2020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5"/>
      <c r="X2" s="2"/>
      <c r="Y2" s="61"/>
    </row>
    <row r="3" spans="1:29" ht="13" x14ac:dyDescent="0.15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9" ht="13" x14ac:dyDescent="0.15">
      <c r="A4" s="2"/>
      <c r="B4" s="2"/>
      <c r="C4" s="40"/>
      <c r="D4" s="42" t="s">
        <v>149</v>
      </c>
      <c r="E4" s="43"/>
      <c r="F4" s="42" t="s">
        <v>137</v>
      </c>
      <c r="G4" s="42" t="s">
        <v>138</v>
      </c>
      <c r="H4" s="42" t="s">
        <v>139</v>
      </c>
      <c r="I4" s="42" t="s">
        <v>82</v>
      </c>
      <c r="J4" s="42" t="s">
        <v>140</v>
      </c>
      <c r="K4" s="42" t="s">
        <v>141</v>
      </c>
      <c r="L4" s="42" t="s">
        <v>142</v>
      </c>
      <c r="M4" s="42" t="s">
        <v>83</v>
      </c>
      <c r="N4" s="42" t="s">
        <v>143</v>
      </c>
      <c r="O4" s="42" t="s">
        <v>144</v>
      </c>
      <c r="P4" s="42" t="s">
        <v>145</v>
      </c>
      <c r="Q4" s="42" t="s">
        <v>84</v>
      </c>
      <c r="R4" s="42" t="s">
        <v>146</v>
      </c>
      <c r="S4" s="42" t="s">
        <v>147</v>
      </c>
      <c r="T4" s="42" t="s">
        <v>148</v>
      </c>
      <c r="U4" s="42" t="s">
        <v>85</v>
      </c>
      <c r="V4" s="40"/>
      <c r="W4" s="62"/>
      <c r="X4" s="63" t="s">
        <v>0</v>
      </c>
      <c r="Y4" s="62"/>
      <c r="AA4" s="51" t="s">
        <v>151</v>
      </c>
    </row>
    <row r="5" spans="1:29" ht="16" x14ac:dyDescent="0.15">
      <c r="B5" s="2"/>
      <c r="C5" s="40"/>
      <c r="D5" s="44" t="s">
        <v>37</v>
      </c>
      <c r="E5" s="45"/>
      <c r="F5" s="44" t="s">
        <v>37</v>
      </c>
      <c r="G5" s="44" t="s">
        <v>37</v>
      </c>
      <c r="H5" s="44" t="s">
        <v>37</v>
      </c>
      <c r="I5" s="44" t="s">
        <v>37</v>
      </c>
      <c r="J5" s="44" t="s">
        <v>37</v>
      </c>
      <c r="K5" s="44" t="s">
        <v>37</v>
      </c>
      <c r="L5" s="44" t="s">
        <v>37</v>
      </c>
      <c r="M5" s="44" t="s">
        <v>37</v>
      </c>
      <c r="N5" s="44" t="s">
        <v>37</v>
      </c>
      <c r="O5" s="44" t="s">
        <v>37</v>
      </c>
      <c r="P5" s="44" t="s">
        <v>37</v>
      </c>
      <c r="Q5" s="44" t="s">
        <v>37</v>
      </c>
      <c r="R5" s="44" t="s">
        <v>37</v>
      </c>
      <c r="S5" s="44" t="s">
        <v>37</v>
      </c>
      <c r="T5" s="44" t="s">
        <v>37</v>
      </c>
      <c r="U5" s="44" t="s">
        <v>37</v>
      </c>
      <c r="V5" s="40"/>
      <c r="W5" s="44" t="s">
        <v>1</v>
      </c>
      <c r="X5" s="44" t="s">
        <v>2</v>
      </c>
      <c r="Y5" s="44" t="s">
        <v>3</v>
      </c>
      <c r="AA5" s="38" t="s">
        <v>152</v>
      </c>
      <c r="AC5" s="86" t="s">
        <v>173</v>
      </c>
    </row>
    <row r="6" spans="1:29" ht="13" x14ac:dyDescent="0.15">
      <c r="A6" s="46" t="s">
        <v>4</v>
      </c>
      <c r="B6" s="2"/>
      <c r="C6" s="40"/>
      <c r="V6" s="40"/>
      <c r="W6" s="45"/>
      <c r="X6" s="45"/>
      <c r="Y6" s="45"/>
    </row>
    <row r="7" spans="1:29" ht="13" x14ac:dyDescent="0.15">
      <c r="A7" s="41"/>
      <c r="B7" s="41" t="s">
        <v>153</v>
      </c>
      <c r="C7" s="40"/>
      <c r="D7" s="47"/>
      <c r="E7" s="48"/>
      <c r="F7" s="47"/>
      <c r="G7" s="47"/>
      <c r="H7" s="47"/>
      <c r="I7" s="48">
        <f>SUM(F7:H7)</f>
        <v>0</v>
      </c>
      <c r="J7" s="47"/>
      <c r="K7" s="47"/>
      <c r="L7" s="47"/>
      <c r="M7" s="48">
        <f>SUM(J7:L7)</f>
        <v>0</v>
      </c>
      <c r="N7" s="47"/>
      <c r="O7" s="47"/>
      <c r="P7" s="47"/>
      <c r="Q7" s="48">
        <f>SUM(N7:P7)</f>
        <v>0</v>
      </c>
      <c r="R7" s="47"/>
      <c r="S7" s="47"/>
      <c r="T7" s="47"/>
      <c r="U7" s="48">
        <f>SUM(R7:T7)</f>
        <v>0</v>
      </c>
      <c r="V7" s="92"/>
      <c r="W7" s="48">
        <f>SUM(I7,M7,Q7,U7)</f>
        <v>0</v>
      </c>
      <c r="X7" s="48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17398620</v>
      </c>
      <c r="Y7" s="55">
        <f>W7-X7</f>
        <v>-17398620</v>
      </c>
      <c r="Z7" s="93"/>
      <c r="AA7" s="48"/>
    </row>
    <row r="8" spans="1:29" ht="13" x14ac:dyDescent="0.15">
      <c r="A8" s="41"/>
      <c r="B8" s="41" t="s">
        <v>154</v>
      </c>
      <c r="C8" s="40"/>
      <c r="D8" s="81"/>
      <c r="E8" s="48"/>
      <c r="F8" s="81"/>
      <c r="G8" s="81"/>
      <c r="H8" s="81"/>
      <c r="I8" s="48">
        <f>SUM(F8:H8)</f>
        <v>0</v>
      </c>
      <c r="J8" s="81"/>
      <c r="K8" s="81"/>
      <c r="L8" s="81"/>
      <c r="M8" s="48">
        <f>SUM(J8:L8)</f>
        <v>0</v>
      </c>
      <c r="N8" s="81"/>
      <c r="O8" s="81"/>
      <c r="P8" s="81"/>
      <c r="Q8" s="48">
        <f>SUM(N8:P8)</f>
        <v>0</v>
      </c>
      <c r="R8" s="81"/>
      <c r="S8" s="81"/>
      <c r="T8" s="81"/>
      <c r="U8" s="48">
        <f>SUM(R8:T8)</f>
        <v>0</v>
      </c>
      <c r="V8" s="92"/>
      <c r="W8" s="48">
        <f>SUM(I8,M8,Q8,U8)</f>
        <v>0</v>
      </c>
      <c r="X8" s="48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5677435</v>
      </c>
      <c r="Y8" s="55">
        <f>W8-X8</f>
        <v>-5677435</v>
      </c>
      <c r="Z8" s="93"/>
      <c r="AA8" s="48"/>
    </row>
    <row r="9" spans="1:29" ht="13" x14ac:dyDescent="0.15">
      <c r="A9" s="41"/>
      <c r="B9" s="41" t="s">
        <v>5</v>
      </c>
      <c r="C9" s="40"/>
      <c r="D9" s="47"/>
      <c r="E9" s="48"/>
      <c r="F9" s="47"/>
      <c r="G9" s="47"/>
      <c r="H9" s="47"/>
      <c r="I9" s="48">
        <f t="shared" ref="I9:I16" si="0">SUM(F9:H9)</f>
        <v>0</v>
      </c>
      <c r="J9" s="47"/>
      <c r="K9" s="47"/>
      <c r="L9" s="47"/>
      <c r="M9" s="48">
        <f t="shared" ref="M9:M16" si="1">SUM(J9:L9)</f>
        <v>0</v>
      </c>
      <c r="N9" s="47"/>
      <c r="O9" s="47"/>
      <c r="P9" s="47"/>
      <c r="Q9" s="48">
        <f t="shared" ref="Q9:Q16" si="2">SUM(N9:P9)</f>
        <v>0</v>
      </c>
      <c r="R9" s="47"/>
      <c r="S9" s="47"/>
      <c r="T9" s="47"/>
      <c r="U9" s="48">
        <f t="shared" ref="U9:U16" si="3">SUM(R9:T9)</f>
        <v>0</v>
      </c>
      <c r="V9" s="92"/>
      <c r="W9" s="48">
        <f t="shared" ref="W9:W15" si="4">SUM(I9,M9,Q9,U9)</f>
        <v>0</v>
      </c>
      <c r="X9" s="55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4849275</v>
      </c>
      <c r="Y9" s="55">
        <f t="shared" ref="Y9:Y16" si="5">W9-X9</f>
        <v>-4849275</v>
      </c>
      <c r="Z9" s="93"/>
      <c r="AA9" s="93"/>
    </row>
    <row r="10" spans="1:29" ht="13" x14ac:dyDescent="0.15">
      <c r="A10" s="41"/>
      <c r="B10" s="41" t="s">
        <v>167</v>
      </c>
      <c r="C10" s="40"/>
      <c r="D10" s="47"/>
      <c r="E10" s="48"/>
      <c r="F10" s="47"/>
      <c r="G10" s="47"/>
      <c r="H10" s="47"/>
      <c r="I10" s="48">
        <f t="shared" si="0"/>
        <v>0</v>
      </c>
      <c r="J10" s="47"/>
      <c r="K10" s="47"/>
      <c r="L10" s="47"/>
      <c r="M10" s="48">
        <f t="shared" si="1"/>
        <v>0</v>
      </c>
      <c r="N10" s="47"/>
      <c r="O10" s="47"/>
      <c r="P10" s="47"/>
      <c r="Q10" s="48">
        <f t="shared" si="2"/>
        <v>0</v>
      </c>
      <c r="R10" s="47"/>
      <c r="S10" s="47"/>
      <c r="T10" s="47"/>
      <c r="U10" s="48">
        <f t="shared" si="3"/>
        <v>0</v>
      </c>
      <c r="V10" s="92"/>
      <c r="W10" s="48">
        <f t="shared" si="4"/>
        <v>0</v>
      </c>
      <c r="X10" s="55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2222000</v>
      </c>
      <c r="Y10" s="55">
        <f t="shared" si="5"/>
        <v>-2222000</v>
      </c>
      <c r="Z10" s="93"/>
      <c r="AA10" s="93"/>
      <c r="AC10" s="51" t="s">
        <v>176</v>
      </c>
    </row>
    <row r="11" spans="1:29" ht="13" x14ac:dyDescent="0.15">
      <c r="A11" s="41"/>
      <c r="B11" s="41" t="s">
        <v>6</v>
      </c>
      <c r="C11" s="40"/>
      <c r="D11" s="47"/>
      <c r="E11" s="48"/>
      <c r="F11" s="47"/>
      <c r="G11" s="47"/>
      <c r="H11" s="47"/>
      <c r="I11" s="48">
        <f t="shared" si="0"/>
        <v>0</v>
      </c>
      <c r="J11" s="47"/>
      <c r="K11" s="47"/>
      <c r="L11" s="47"/>
      <c r="M11" s="48">
        <f t="shared" si="1"/>
        <v>0</v>
      </c>
      <c r="N11" s="47"/>
      <c r="O11" s="47"/>
      <c r="P11" s="47"/>
      <c r="Q11" s="48">
        <f t="shared" si="2"/>
        <v>0</v>
      </c>
      <c r="R11" s="47"/>
      <c r="S11" s="47"/>
      <c r="T11" s="47"/>
      <c r="U11" s="48">
        <f t="shared" si="3"/>
        <v>0</v>
      </c>
      <c r="V11" s="92"/>
      <c r="W11" s="48">
        <f t="shared" si="4"/>
        <v>0</v>
      </c>
      <c r="X11" s="55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45000</v>
      </c>
      <c r="Y11" s="55">
        <f t="shared" si="5"/>
        <v>-45000</v>
      </c>
      <c r="Z11" s="93"/>
      <c r="AA11" s="93"/>
      <c r="AC11" s="51" t="s">
        <v>177</v>
      </c>
    </row>
    <row r="12" spans="1:29" ht="13" x14ac:dyDescent="0.15">
      <c r="A12" s="41"/>
      <c r="B12" s="41" t="s">
        <v>7</v>
      </c>
      <c r="C12" s="40"/>
      <c r="D12" s="47"/>
      <c r="E12" s="48"/>
      <c r="F12" s="47"/>
      <c r="G12" s="47"/>
      <c r="H12" s="47"/>
      <c r="I12" s="48">
        <f t="shared" si="0"/>
        <v>0</v>
      </c>
      <c r="J12" s="47"/>
      <c r="K12" s="47"/>
      <c r="L12" s="47"/>
      <c r="M12" s="48">
        <f t="shared" si="1"/>
        <v>0</v>
      </c>
      <c r="N12" s="47"/>
      <c r="O12" s="47"/>
      <c r="P12" s="47"/>
      <c r="Q12" s="48">
        <f t="shared" si="2"/>
        <v>0</v>
      </c>
      <c r="R12" s="47"/>
      <c r="S12" s="47"/>
      <c r="T12" s="47"/>
      <c r="U12" s="48">
        <f t="shared" si="3"/>
        <v>0</v>
      </c>
      <c r="V12" s="92"/>
      <c r="W12" s="48">
        <f t="shared" si="4"/>
        <v>0</v>
      </c>
      <c r="X12" s="55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25000</v>
      </c>
      <c r="Y12" s="55">
        <f t="shared" si="5"/>
        <v>-25000</v>
      </c>
      <c r="Z12" s="93"/>
      <c r="AA12" s="93"/>
    </row>
    <row r="13" spans="1:29" ht="13" x14ac:dyDescent="0.15">
      <c r="A13" s="41"/>
      <c r="B13" s="41" t="s">
        <v>8</v>
      </c>
      <c r="C13" s="40"/>
      <c r="D13" s="47"/>
      <c r="E13" s="48"/>
      <c r="F13" s="47"/>
      <c r="G13" s="47"/>
      <c r="H13" s="47"/>
      <c r="I13" s="48">
        <f t="shared" si="0"/>
        <v>0</v>
      </c>
      <c r="J13" s="47"/>
      <c r="K13" s="47"/>
      <c r="L13" s="47"/>
      <c r="M13" s="48">
        <f t="shared" si="1"/>
        <v>0</v>
      </c>
      <c r="N13" s="47"/>
      <c r="O13" s="47"/>
      <c r="P13" s="47"/>
      <c r="Q13" s="48">
        <f t="shared" si="2"/>
        <v>0</v>
      </c>
      <c r="R13" s="47"/>
      <c r="S13" s="47"/>
      <c r="T13" s="47"/>
      <c r="U13" s="48">
        <f t="shared" si="3"/>
        <v>0</v>
      </c>
      <c r="V13" s="92"/>
      <c r="W13" s="48">
        <f t="shared" si="4"/>
        <v>0</v>
      </c>
      <c r="X13" s="55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451089</v>
      </c>
      <c r="Y13" s="55">
        <f t="shared" si="5"/>
        <v>-451089</v>
      </c>
      <c r="Z13" s="93"/>
      <c r="AA13" s="93"/>
    </row>
    <row r="14" spans="1:29" ht="13" x14ac:dyDescent="0.15">
      <c r="A14" s="41"/>
      <c r="B14" s="41" t="s">
        <v>155</v>
      </c>
      <c r="C14" s="40"/>
      <c r="D14" s="81"/>
      <c r="E14" s="48"/>
      <c r="F14" s="81"/>
      <c r="G14" s="81"/>
      <c r="H14" s="81"/>
      <c r="I14" s="48">
        <f t="shared" si="0"/>
        <v>0</v>
      </c>
      <c r="J14" s="81"/>
      <c r="K14" s="81"/>
      <c r="L14" s="81"/>
      <c r="M14" s="48">
        <f t="shared" si="1"/>
        <v>0</v>
      </c>
      <c r="N14" s="81"/>
      <c r="O14" s="81"/>
      <c r="P14" s="81"/>
      <c r="Q14" s="48">
        <f t="shared" si="2"/>
        <v>0</v>
      </c>
      <c r="R14" s="81"/>
      <c r="S14" s="81"/>
      <c r="T14" s="81"/>
      <c r="U14" s="48">
        <f t="shared" si="3"/>
        <v>0</v>
      </c>
      <c r="V14" s="92"/>
      <c r="W14" s="48">
        <f t="shared" si="4"/>
        <v>0</v>
      </c>
      <c r="X14" s="55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55">
        <f t="shared" si="5"/>
        <v>0</v>
      </c>
      <c r="Z14" s="93"/>
      <c r="AA14" s="93"/>
    </row>
    <row r="15" spans="1:29" ht="13" x14ac:dyDescent="0.15">
      <c r="A15" s="41"/>
      <c r="B15" s="41" t="s">
        <v>9</v>
      </c>
      <c r="C15" s="40"/>
      <c r="D15" s="47"/>
      <c r="E15" s="48"/>
      <c r="F15" s="47"/>
      <c r="G15" s="47"/>
      <c r="H15" s="47"/>
      <c r="I15" s="48">
        <f t="shared" si="0"/>
        <v>0</v>
      </c>
      <c r="J15" s="47"/>
      <c r="K15" s="47"/>
      <c r="L15" s="47"/>
      <c r="M15" s="48">
        <f t="shared" si="1"/>
        <v>0</v>
      </c>
      <c r="N15" s="47"/>
      <c r="O15" s="47"/>
      <c r="P15" s="47"/>
      <c r="Q15" s="48">
        <f t="shared" si="2"/>
        <v>0</v>
      </c>
      <c r="R15" s="47"/>
      <c r="S15" s="47"/>
      <c r="T15" s="47"/>
      <c r="U15" s="48">
        <f t="shared" si="3"/>
        <v>0</v>
      </c>
      <c r="V15" s="92"/>
      <c r="W15" s="48">
        <f t="shared" si="4"/>
        <v>0</v>
      </c>
      <c r="X15" s="55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224539</v>
      </c>
      <c r="Y15" s="55">
        <f t="shared" si="5"/>
        <v>-224539</v>
      </c>
      <c r="Z15" s="93"/>
      <c r="AA15" s="93"/>
    </row>
    <row r="16" spans="1:29" ht="13" x14ac:dyDescent="0.15">
      <c r="A16" s="41"/>
      <c r="B16" s="49" t="s">
        <v>10</v>
      </c>
      <c r="C16" s="40"/>
      <c r="D16" s="91">
        <f>SUM(D7:D15)</f>
        <v>0</v>
      </c>
      <c r="E16" s="94"/>
      <c r="F16" s="91">
        <f>SUM(F7:F15)</f>
        <v>0</v>
      </c>
      <c r="G16" s="91">
        <f>SUM(G7:G15)</f>
        <v>0</v>
      </c>
      <c r="H16" s="91">
        <f>SUM(H7:H15)</f>
        <v>0</v>
      </c>
      <c r="I16" s="91">
        <f t="shared" si="0"/>
        <v>0</v>
      </c>
      <c r="J16" s="91">
        <f>SUM(J7:J15)</f>
        <v>0</v>
      </c>
      <c r="K16" s="91">
        <f>SUM(K7:K15)</f>
        <v>0</v>
      </c>
      <c r="L16" s="91">
        <f>SUM(L7:L15)</f>
        <v>0</v>
      </c>
      <c r="M16" s="91">
        <f t="shared" si="1"/>
        <v>0</v>
      </c>
      <c r="N16" s="91">
        <f>SUM(N7:N15)</f>
        <v>0</v>
      </c>
      <c r="O16" s="91">
        <f>SUM(O7:O15)</f>
        <v>0</v>
      </c>
      <c r="P16" s="91">
        <f>SUM(P7:P15)</f>
        <v>0</v>
      </c>
      <c r="Q16" s="91">
        <f t="shared" si="2"/>
        <v>0</v>
      </c>
      <c r="R16" s="91">
        <f>SUM(R7:R15)</f>
        <v>0</v>
      </c>
      <c r="S16" s="91">
        <f>SUM(S7:S15)</f>
        <v>0</v>
      </c>
      <c r="T16" s="91">
        <f>SUM(T7:T15)</f>
        <v>0</v>
      </c>
      <c r="U16" s="91">
        <f t="shared" si="3"/>
        <v>0</v>
      </c>
      <c r="V16" s="92"/>
      <c r="W16" s="91">
        <f>SUM(W7:W15)</f>
        <v>0</v>
      </c>
      <c r="X16" s="91">
        <f>SUM(X7:X15)</f>
        <v>30892958</v>
      </c>
      <c r="Y16" s="91">
        <f t="shared" si="5"/>
        <v>-30892958</v>
      </c>
      <c r="Z16" s="93"/>
      <c r="AA16" s="93"/>
    </row>
    <row r="17" spans="1:27" ht="13" x14ac:dyDescent="0.15">
      <c r="A17" s="41"/>
      <c r="B17" s="50"/>
      <c r="C17" s="40"/>
      <c r="D17" s="95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2"/>
      <c r="W17" s="95"/>
      <c r="X17" s="95"/>
      <c r="Y17" s="95"/>
      <c r="Z17" s="93"/>
      <c r="AA17" s="93"/>
    </row>
    <row r="18" spans="1:27" ht="13" x14ac:dyDescent="0.15">
      <c r="A18" s="51" t="s">
        <v>159</v>
      </c>
      <c r="B18" s="2"/>
      <c r="C18" s="40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92"/>
      <c r="W18" s="54"/>
      <c r="X18" s="54"/>
      <c r="Y18" s="54"/>
      <c r="Z18" s="93"/>
      <c r="AA18" s="93"/>
    </row>
    <row r="19" spans="1:27" ht="13" x14ac:dyDescent="0.15">
      <c r="A19" s="52" t="s">
        <v>11</v>
      </c>
      <c r="B19" s="2"/>
      <c r="C19" s="40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92"/>
      <c r="W19" s="54"/>
      <c r="X19" s="54"/>
      <c r="Y19" s="54"/>
      <c r="Z19" s="93"/>
      <c r="AA19" s="93"/>
    </row>
    <row r="20" spans="1:27" ht="13" x14ac:dyDescent="0.15">
      <c r="A20" s="41"/>
      <c r="B20" s="2" t="s">
        <v>12</v>
      </c>
      <c r="C20" s="40"/>
      <c r="D20" s="53"/>
      <c r="E20" s="54"/>
      <c r="F20" s="53"/>
      <c r="G20" s="53"/>
      <c r="H20" s="53"/>
      <c r="I20" s="55">
        <f t="shared" ref="I20:I27" si="6">SUM(F20:H20)</f>
        <v>0</v>
      </c>
      <c r="J20" s="53"/>
      <c r="K20" s="53"/>
      <c r="L20" s="53"/>
      <c r="M20" s="55">
        <f t="shared" ref="M20:M27" si="7">SUM(J20:L20)</f>
        <v>0</v>
      </c>
      <c r="N20" s="53"/>
      <c r="O20" s="53"/>
      <c r="P20" s="53"/>
      <c r="Q20" s="55">
        <f t="shared" ref="Q20:Q27" si="8">SUM(N20:P20)</f>
        <v>0</v>
      </c>
      <c r="R20" s="53"/>
      <c r="S20" s="53"/>
      <c r="T20" s="53"/>
      <c r="U20" s="55">
        <f t="shared" ref="U20:U27" si="9">SUM(R20:T20)</f>
        <v>0</v>
      </c>
      <c r="V20" s="92"/>
      <c r="W20" s="48">
        <f t="shared" ref="W20:W26" si="10">SUM(I20,M20,Q20,U20)</f>
        <v>0</v>
      </c>
      <c r="X20" s="55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1331165</v>
      </c>
      <c r="Y20" s="55">
        <f>X20-W20</f>
        <v>1331165</v>
      </c>
      <c r="Z20" s="93"/>
      <c r="AA20" s="93"/>
    </row>
    <row r="21" spans="1:27" ht="13" x14ac:dyDescent="0.15">
      <c r="A21" s="41"/>
      <c r="B21" s="2" t="s">
        <v>13</v>
      </c>
      <c r="C21" s="40"/>
      <c r="D21" s="53"/>
      <c r="E21" s="54"/>
      <c r="F21" s="53"/>
      <c r="G21" s="53"/>
      <c r="H21" s="53"/>
      <c r="I21" s="55">
        <f t="shared" si="6"/>
        <v>0</v>
      </c>
      <c r="J21" s="53"/>
      <c r="K21" s="53"/>
      <c r="L21" s="53"/>
      <c r="M21" s="55">
        <f t="shared" si="7"/>
        <v>0</v>
      </c>
      <c r="N21" s="53"/>
      <c r="O21" s="53"/>
      <c r="P21" s="53"/>
      <c r="Q21" s="55">
        <f t="shared" si="8"/>
        <v>0</v>
      </c>
      <c r="R21" s="53"/>
      <c r="S21" s="53"/>
      <c r="T21" s="53"/>
      <c r="U21" s="55">
        <f t="shared" si="9"/>
        <v>0</v>
      </c>
      <c r="V21" s="92"/>
      <c r="W21" s="48">
        <f t="shared" si="10"/>
        <v>0</v>
      </c>
      <c r="X21" s="55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7647711.9999999991</v>
      </c>
      <c r="Y21" s="55">
        <f t="shared" ref="Y21:Y26" si="11">X21-W21</f>
        <v>7647711.9999999991</v>
      </c>
      <c r="Z21" s="93"/>
      <c r="AA21" s="93"/>
    </row>
    <row r="22" spans="1:27" ht="13" x14ac:dyDescent="0.15">
      <c r="A22" s="41"/>
      <c r="B22" s="2" t="s">
        <v>14</v>
      </c>
      <c r="C22" s="40"/>
      <c r="D22" s="53"/>
      <c r="E22" s="54"/>
      <c r="F22" s="53"/>
      <c r="G22" s="53"/>
      <c r="H22" s="53"/>
      <c r="I22" s="55">
        <f t="shared" si="6"/>
        <v>0</v>
      </c>
      <c r="J22" s="53"/>
      <c r="K22" s="53"/>
      <c r="L22" s="53"/>
      <c r="M22" s="55">
        <f t="shared" si="7"/>
        <v>0</v>
      </c>
      <c r="N22" s="53"/>
      <c r="O22" s="53"/>
      <c r="P22" s="53"/>
      <c r="Q22" s="55">
        <f t="shared" si="8"/>
        <v>0</v>
      </c>
      <c r="R22" s="53"/>
      <c r="S22" s="53"/>
      <c r="T22" s="53"/>
      <c r="U22" s="55">
        <f t="shared" si="9"/>
        <v>0</v>
      </c>
      <c r="V22" s="92"/>
      <c r="W22" s="48">
        <f t="shared" si="10"/>
        <v>0</v>
      </c>
      <c r="X22" s="55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2672596</v>
      </c>
      <c r="Y22" s="55">
        <f t="shared" si="11"/>
        <v>2672596</v>
      </c>
      <c r="Z22" s="93"/>
      <c r="AA22" s="93"/>
    </row>
    <row r="23" spans="1:27" ht="13" x14ac:dyDescent="0.15">
      <c r="A23" s="41"/>
      <c r="B23" s="2" t="s">
        <v>15</v>
      </c>
      <c r="C23" s="40"/>
      <c r="D23" s="53"/>
      <c r="E23" s="54"/>
      <c r="F23" s="53"/>
      <c r="G23" s="53"/>
      <c r="H23" s="53"/>
      <c r="I23" s="55">
        <f t="shared" si="6"/>
        <v>0</v>
      </c>
      <c r="J23" s="53"/>
      <c r="K23" s="53"/>
      <c r="L23" s="53"/>
      <c r="M23" s="55">
        <f t="shared" si="7"/>
        <v>0</v>
      </c>
      <c r="N23" s="53"/>
      <c r="O23" s="53"/>
      <c r="P23" s="53"/>
      <c r="Q23" s="55">
        <f t="shared" si="8"/>
        <v>0</v>
      </c>
      <c r="R23" s="53"/>
      <c r="S23" s="53"/>
      <c r="T23" s="53"/>
      <c r="U23" s="55">
        <f t="shared" si="9"/>
        <v>0</v>
      </c>
      <c r="V23" s="92"/>
      <c r="W23" s="48">
        <f t="shared" si="10"/>
        <v>0</v>
      </c>
      <c r="X23" s="55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2865805</v>
      </c>
      <c r="Y23" s="55">
        <f t="shared" si="11"/>
        <v>2865805</v>
      </c>
      <c r="Z23" s="93"/>
      <c r="AA23" s="93"/>
    </row>
    <row r="24" spans="1:27" ht="13" x14ac:dyDescent="0.15">
      <c r="A24" s="41"/>
      <c r="B24" s="2" t="s">
        <v>16</v>
      </c>
      <c r="C24" s="40"/>
      <c r="D24" s="53"/>
      <c r="E24" s="54"/>
      <c r="F24" s="53"/>
      <c r="G24" s="53"/>
      <c r="H24" s="53"/>
      <c r="I24" s="55">
        <f t="shared" si="6"/>
        <v>0</v>
      </c>
      <c r="J24" s="53"/>
      <c r="K24" s="53"/>
      <c r="L24" s="53"/>
      <c r="M24" s="55">
        <f t="shared" si="7"/>
        <v>0</v>
      </c>
      <c r="N24" s="53"/>
      <c r="O24" s="53"/>
      <c r="P24" s="53"/>
      <c r="Q24" s="55">
        <f t="shared" si="8"/>
        <v>0</v>
      </c>
      <c r="R24" s="53"/>
      <c r="S24" s="53"/>
      <c r="T24" s="53"/>
      <c r="U24" s="55">
        <f t="shared" si="9"/>
        <v>0</v>
      </c>
      <c r="V24" s="92"/>
      <c r="W24" s="48">
        <f t="shared" si="10"/>
        <v>0</v>
      </c>
      <c r="X24" s="55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1983212</v>
      </c>
      <c r="Y24" s="55">
        <f t="shared" si="11"/>
        <v>1983212</v>
      </c>
      <c r="Z24" s="93"/>
      <c r="AA24" s="93"/>
    </row>
    <row r="25" spans="1:27" ht="13" x14ac:dyDescent="0.15">
      <c r="A25" s="41"/>
      <c r="B25" s="2" t="s">
        <v>168</v>
      </c>
      <c r="C25" s="40"/>
      <c r="D25" s="53"/>
      <c r="E25" s="54"/>
      <c r="F25" s="53"/>
      <c r="G25" s="53"/>
      <c r="H25" s="53"/>
      <c r="I25" s="55">
        <f t="shared" si="6"/>
        <v>0</v>
      </c>
      <c r="J25" s="53"/>
      <c r="K25" s="53"/>
      <c r="L25" s="53"/>
      <c r="M25" s="55">
        <f t="shared" si="7"/>
        <v>0</v>
      </c>
      <c r="N25" s="53"/>
      <c r="O25" s="53"/>
      <c r="P25" s="53"/>
      <c r="Q25" s="55">
        <f t="shared" si="8"/>
        <v>0</v>
      </c>
      <c r="R25" s="53"/>
      <c r="S25" s="53"/>
      <c r="T25" s="53"/>
      <c r="U25" s="55">
        <f t="shared" si="9"/>
        <v>0</v>
      </c>
      <c r="V25" s="92"/>
      <c r="W25" s="48">
        <f t="shared" si="10"/>
        <v>0</v>
      </c>
      <c r="X25" s="55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1150629</v>
      </c>
      <c r="Y25" s="55">
        <f t="shared" si="11"/>
        <v>1150629</v>
      </c>
      <c r="Z25" s="93"/>
      <c r="AA25" s="93"/>
    </row>
    <row r="26" spans="1:27" ht="13" x14ac:dyDescent="0.15">
      <c r="A26" s="41"/>
      <c r="B26" s="82" t="s">
        <v>169</v>
      </c>
      <c r="C26" s="40"/>
      <c r="D26" s="53"/>
      <c r="E26" s="54"/>
      <c r="F26" s="53"/>
      <c r="G26" s="53"/>
      <c r="H26" s="53"/>
      <c r="I26" s="83">
        <f t="shared" si="6"/>
        <v>0</v>
      </c>
      <c r="J26" s="80"/>
      <c r="K26" s="80"/>
      <c r="L26" s="80"/>
      <c r="M26" s="84">
        <f t="shared" si="7"/>
        <v>0</v>
      </c>
      <c r="N26" s="80"/>
      <c r="O26" s="80"/>
      <c r="P26" s="80"/>
      <c r="Q26" s="84">
        <f t="shared" si="8"/>
        <v>0</v>
      </c>
      <c r="R26" s="80"/>
      <c r="S26" s="80"/>
      <c r="T26" s="80"/>
      <c r="U26" s="84">
        <f t="shared" si="9"/>
        <v>0</v>
      </c>
      <c r="V26" s="102"/>
      <c r="W26" s="85">
        <f t="shared" si="10"/>
        <v>0</v>
      </c>
      <c r="X26" s="8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3796605</v>
      </c>
      <c r="Y26" s="84">
        <f t="shared" si="11"/>
        <v>3796605</v>
      </c>
      <c r="Z26" s="93"/>
      <c r="AA26" s="93"/>
    </row>
    <row r="27" spans="1:27" ht="13" x14ac:dyDescent="0.15">
      <c r="A27" s="2"/>
      <c r="B27" s="49" t="s">
        <v>17</v>
      </c>
      <c r="C27" s="40"/>
      <c r="D27" s="91">
        <f>SUM(D20:D26)</f>
        <v>0</v>
      </c>
      <c r="E27" s="94"/>
      <c r="F27" s="91">
        <f>SUM(F20:F26)</f>
        <v>0</v>
      </c>
      <c r="G27" s="91">
        <f>SUM(G20:G26)</f>
        <v>0</v>
      </c>
      <c r="H27" s="91">
        <f>SUM(H20:H26)</f>
        <v>0</v>
      </c>
      <c r="I27" s="91">
        <f t="shared" si="6"/>
        <v>0</v>
      </c>
      <c r="J27" s="91">
        <f>SUM(J20:J26)</f>
        <v>0</v>
      </c>
      <c r="K27" s="91">
        <f>SUM(K20:K26)</f>
        <v>0</v>
      </c>
      <c r="L27" s="91">
        <f>SUM(L20:L26)</f>
        <v>0</v>
      </c>
      <c r="M27" s="91">
        <f t="shared" si="7"/>
        <v>0</v>
      </c>
      <c r="N27" s="91">
        <f>SUM(N20:N26)</f>
        <v>0</v>
      </c>
      <c r="O27" s="91">
        <f>SUM(O20:O26)</f>
        <v>0</v>
      </c>
      <c r="P27" s="91">
        <f>SUM(P20:P26)</f>
        <v>0</v>
      </c>
      <c r="Q27" s="91">
        <f t="shared" si="8"/>
        <v>0</v>
      </c>
      <c r="R27" s="91">
        <f>SUM(R20:R26)</f>
        <v>0</v>
      </c>
      <c r="S27" s="91">
        <f>SUM(S20:S26)</f>
        <v>0</v>
      </c>
      <c r="T27" s="91">
        <f>SUM(T20:T26)</f>
        <v>0</v>
      </c>
      <c r="U27" s="91">
        <f t="shared" si="9"/>
        <v>0</v>
      </c>
      <c r="V27" s="92"/>
      <c r="W27" s="91">
        <f>SUM(W20:W26)</f>
        <v>0</v>
      </c>
      <c r="X27" s="91">
        <f>SUM(X20:X26)</f>
        <v>21447724</v>
      </c>
      <c r="Y27" s="91">
        <f>X27-W27</f>
        <v>21447724</v>
      </c>
      <c r="Z27" s="93"/>
      <c r="AA27" s="93"/>
    </row>
    <row r="28" spans="1:27" ht="13" x14ac:dyDescent="0.15">
      <c r="A28" s="2"/>
      <c r="C28" s="4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2"/>
      <c r="W28" s="94"/>
      <c r="X28" s="94"/>
      <c r="Y28" s="94"/>
      <c r="Z28" s="93"/>
      <c r="AA28" s="93"/>
    </row>
    <row r="29" spans="1:27" ht="13" x14ac:dyDescent="0.15">
      <c r="A29" s="52" t="s">
        <v>18</v>
      </c>
      <c r="B29" s="2"/>
      <c r="C29" s="4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92"/>
      <c r="W29" s="54"/>
      <c r="X29" s="54"/>
      <c r="Y29" s="54"/>
      <c r="Z29" s="93"/>
      <c r="AA29" s="93"/>
    </row>
    <row r="30" spans="1:27" ht="13" x14ac:dyDescent="0.15">
      <c r="A30" s="41"/>
      <c r="B30" s="2" t="s">
        <v>170</v>
      </c>
      <c r="C30" s="40"/>
      <c r="D30" s="53"/>
      <c r="E30" s="54"/>
      <c r="F30" s="53"/>
      <c r="G30" s="53"/>
      <c r="H30" s="53"/>
      <c r="I30" s="55">
        <f t="shared" ref="I30:I35" si="12">SUM(F30:H30)</f>
        <v>0</v>
      </c>
      <c r="J30" s="53"/>
      <c r="K30" s="53"/>
      <c r="L30" s="53"/>
      <c r="M30" s="55">
        <f t="shared" ref="M30:M35" si="13">SUM(J30:L30)</f>
        <v>0</v>
      </c>
      <c r="N30" s="53"/>
      <c r="O30" s="53"/>
      <c r="P30" s="53"/>
      <c r="Q30" s="55">
        <f t="shared" ref="Q30:Q35" si="14">SUM(N30:P30)</f>
        <v>0</v>
      </c>
      <c r="R30" s="53"/>
      <c r="S30" s="53"/>
      <c r="T30" s="53"/>
      <c r="U30" s="55">
        <f t="shared" ref="U30:U35" si="15">SUM(R30:T30)</f>
        <v>0</v>
      </c>
      <c r="V30" s="92"/>
      <c r="W30" s="48">
        <f t="shared" ref="W30:W34" si="16">SUM(I30,M30,Q30,U30)</f>
        <v>0</v>
      </c>
      <c r="X30" s="55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334420</v>
      </c>
      <c r="Y30" s="55">
        <f t="shared" ref="Y30:Y34" si="17">X30-W30</f>
        <v>334420</v>
      </c>
      <c r="Z30" s="93"/>
      <c r="AA30" s="93"/>
    </row>
    <row r="31" spans="1:27" ht="13" x14ac:dyDescent="0.15">
      <c r="A31" s="41"/>
      <c r="B31" s="2" t="s">
        <v>171</v>
      </c>
      <c r="C31" s="40"/>
      <c r="D31" s="53"/>
      <c r="E31" s="54"/>
      <c r="F31" s="53"/>
      <c r="G31" s="53"/>
      <c r="H31" s="53"/>
      <c r="I31" s="55">
        <f t="shared" si="12"/>
        <v>0</v>
      </c>
      <c r="J31" s="53"/>
      <c r="K31" s="53"/>
      <c r="L31" s="53"/>
      <c r="M31" s="55">
        <f t="shared" si="13"/>
        <v>0</v>
      </c>
      <c r="N31" s="53"/>
      <c r="O31" s="53"/>
      <c r="P31" s="53"/>
      <c r="Q31" s="55">
        <f t="shared" si="14"/>
        <v>0</v>
      </c>
      <c r="R31" s="53"/>
      <c r="S31" s="53"/>
      <c r="T31" s="53"/>
      <c r="U31" s="55">
        <f t="shared" si="15"/>
        <v>0</v>
      </c>
      <c r="V31" s="92"/>
      <c r="W31" s="48">
        <f t="shared" si="16"/>
        <v>0</v>
      </c>
      <c r="X31" s="55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32550</v>
      </c>
      <c r="Y31" s="55">
        <f t="shared" si="17"/>
        <v>32550</v>
      </c>
      <c r="Z31" s="93"/>
      <c r="AA31" s="93"/>
    </row>
    <row r="32" spans="1:27" ht="13" x14ac:dyDescent="0.15">
      <c r="A32" s="41"/>
      <c r="B32" s="2" t="s">
        <v>19</v>
      </c>
      <c r="C32" s="40"/>
      <c r="D32" s="53"/>
      <c r="E32" s="54"/>
      <c r="F32" s="53"/>
      <c r="G32" s="53"/>
      <c r="H32" s="53"/>
      <c r="I32" s="55">
        <f t="shared" si="12"/>
        <v>0</v>
      </c>
      <c r="J32" s="53"/>
      <c r="K32" s="53"/>
      <c r="L32" s="53"/>
      <c r="M32" s="55">
        <f t="shared" si="13"/>
        <v>0</v>
      </c>
      <c r="N32" s="53"/>
      <c r="O32" s="53"/>
      <c r="P32" s="53"/>
      <c r="Q32" s="55">
        <f t="shared" si="14"/>
        <v>0</v>
      </c>
      <c r="R32" s="53"/>
      <c r="S32" s="53"/>
      <c r="T32" s="53"/>
      <c r="U32" s="55">
        <f t="shared" si="15"/>
        <v>0</v>
      </c>
      <c r="V32" s="92"/>
      <c r="W32" s="48">
        <f t="shared" si="16"/>
        <v>0</v>
      </c>
      <c r="X32" s="55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185800</v>
      </c>
      <c r="Y32" s="55">
        <f t="shared" si="17"/>
        <v>185800</v>
      </c>
      <c r="Z32" s="93"/>
      <c r="AA32" s="93"/>
    </row>
    <row r="33" spans="1:29" ht="13" x14ac:dyDescent="0.15">
      <c r="A33" s="41"/>
      <c r="B33" s="41" t="s">
        <v>32</v>
      </c>
      <c r="C33" s="40"/>
      <c r="D33" s="53"/>
      <c r="E33" s="54"/>
      <c r="F33" s="53"/>
      <c r="G33" s="53"/>
      <c r="H33" s="53"/>
      <c r="I33" s="55">
        <f>SUM(F33:H33)</f>
        <v>0</v>
      </c>
      <c r="J33" s="53"/>
      <c r="K33" s="53"/>
      <c r="L33" s="53"/>
      <c r="M33" s="55">
        <f>SUM(J33:L33)</f>
        <v>0</v>
      </c>
      <c r="N33" s="53"/>
      <c r="O33" s="53"/>
      <c r="P33" s="53"/>
      <c r="Q33" s="55">
        <f>SUM(N33:P33)</f>
        <v>0</v>
      </c>
      <c r="R33" s="53"/>
      <c r="S33" s="53"/>
      <c r="T33" s="53"/>
      <c r="U33" s="55">
        <f>SUM(R33:T33)</f>
        <v>0</v>
      </c>
      <c r="V33" s="92"/>
      <c r="W33" s="48">
        <f>SUM(I33,M33,Q33,U33)</f>
        <v>0</v>
      </c>
      <c r="X33" s="55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1000000</v>
      </c>
      <c r="Y33" s="55">
        <f>X33-W33</f>
        <v>1000000</v>
      </c>
      <c r="Z33" s="93"/>
      <c r="AA33" s="93"/>
    </row>
    <row r="34" spans="1:29" ht="13" x14ac:dyDescent="0.15">
      <c r="A34" s="41"/>
      <c r="B34" s="2" t="s">
        <v>172</v>
      </c>
      <c r="C34" s="40"/>
      <c r="D34" s="53"/>
      <c r="E34" s="54"/>
      <c r="F34" s="53"/>
      <c r="G34" s="53"/>
      <c r="H34" s="53"/>
      <c r="I34" s="55">
        <f t="shared" si="12"/>
        <v>0</v>
      </c>
      <c r="J34" s="53"/>
      <c r="K34" s="53"/>
      <c r="L34" s="53"/>
      <c r="M34" s="55">
        <f t="shared" si="13"/>
        <v>0</v>
      </c>
      <c r="N34" s="53"/>
      <c r="O34" s="53"/>
      <c r="P34" s="53"/>
      <c r="Q34" s="55">
        <f t="shared" si="14"/>
        <v>0</v>
      </c>
      <c r="R34" s="53"/>
      <c r="S34" s="53"/>
      <c r="T34" s="53"/>
      <c r="U34" s="55">
        <f t="shared" si="15"/>
        <v>0</v>
      </c>
      <c r="V34" s="92"/>
      <c r="W34" s="48">
        <f t="shared" si="16"/>
        <v>0</v>
      </c>
      <c r="X34" s="55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566099</v>
      </c>
      <c r="Y34" s="55">
        <f t="shared" si="17"/>
        <v>566099</v>
      </c>
      <c r="Z34" s="93"/>
      <c r="AA34" s="93"/>
    </row>
    <row r="35" spans="1:29" ht="13" x14ac:dyDescent="0.15">
      <c r="A35" s="2"/>
      <c r="B35" s="49" t="s">
        <v>20</v>
      </c>
      <c r="C35" s="40"/>
      <c r="D35" s="91">
        <f>SUM(D30:D34)</f>
        <v>0</v>
      </c>
      <c r="E35" s="94"/>
      <c r="F35" s="91">
        <f>SUM(F30:F34)</f>
        <v>0</v>
      </c>
      <c r="G35" s="91">
        <f>SUM(G30:G34)</f>
        <v>0</v>
      </c>
      <c r="H35" s="91">
        <f>SUM(H30:H34)</f>
        <v>0</v>
      </c>
      <c r="I35" s="91">
        <f t="shared" si="12"/>
        <v>0</v>
      </c>
      <c r="J35" s="91">
        <f>SUM(J30:J34)</f>
        <v>0</v>
      </c>
      <c r="K35" s="91">
        <f>SUM(K30:K34)</f>
        <v>0</v>
      </c>
      <c r="L35" s="91">
        <f>SUM(L30:L34)</f>
        <v>0</v>
      </c>
      <c r="M35" s="91">
        <f t="shared" si="13"/>
        <v>0</v>
      </c>
      <c r="N35" s="91">
        <f>SUM(N30:N34)</f>
        <v>0</v>
      </c>
      <c r="O35" s="91">
        <f>SUM(O30:O34)</f>
        <v>0</v>
      </c>
      <c r="P35" s="91">
        <f>SUM(P30:P34)</f>
        <v>0</v>
      </c>
      <c r="Q35" s="91">
        <f t="shared" si="14"/>
        <v>0</v>
      </c>
      <c r="R35" s="91">
        <f>SUM(R30:R34)</f>
        <v>0</v>
      </c>
      <c r="S35" s="91">
        <f>SUM(S30:S34)</f>
        <v>0</v>
      </c>
      <c r="T35" s="91">
        <f>SUM(T30:T34)</f>
        <v>0</v>
      </c>
      <c r="U35" s="91">
        <f t="shared" si="15"/>
        <v>0</v>
      </c>
      <c r="V35" s="92"/>
      <c r="W35" s="91">
        <f>SUM(W30:W34)</f>
        <v>0</v>
      </c>
      <c r="X35" s="91">
        <f>SUM(X30:X34)</f>
        <v>2118869</v>
      </c>
      <c r="Y35" s="91">
        <f>X35-W35</f>
        <v>2118869</v>
      </c>
      <c r="Z35" s="93"/>
      <c r="AA35" s="93"/>
    </row>
    <row r="36" spans="1:29" ht="13" x14ac:dyDescent="0.15">
      <c r="A36" s="46"/>
      <c r="B36" s="46"/>
      <c r="C36" s="40"/>
      <c r="D36" s="55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92"/>
      <c r="W36" s="55"/>
      <c r="X36" s="55"/>
      <c r="Y36" s="55"/>
      <c r="Z36" s="93"/>
      <c r="AA36" s="93"/>
    </row>
    <row r="37" spans="1:29" ht="13" x14ac:dyDescent="0.15">
      <c r="A37" s="56" t="s">
        <v>21</v>
      </c>
      <c r="B37" s="41"/>
      <c r="C37" s="40"/>
      <c r="D37" s="55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92"/>
      <c r="W37" s="55"/>
      <c r="X37" s="55"/>
      <c r="Y37" s="55"/>
      <c r="Z37" s="93"/>
      <c r="AA37" s="93"/>
    </row>
    <row r="38" spans="1:29" ht="13" x14ac:dyDescent="0.15">
      <c r="A38" s="41"/>
      <c r="B38" s="41" t="s">
        <v>22</v>
      </c>
      <c r="C38" s="40"/>
      <c r="D38" s="53"/>
      <c r="E38" s="54"/>
      <c r="F38" s="53"/>
      <c r="G38" s="53"/>
      <c r="H38" s="53"/>
      <c r="I38" s="55">
        <f t="shared" ref="I38:I40" si="18">SUM(F38:H38)</f>
        <v>0</v>
      </c>
      <c r="J38" s="53"/>
      <c r="K38" s="53"/>
      <c r="L38" s="53"/>
      <c r="M38" s="55">
        <f t="shared" ref="M38:M44" si="19">SUM(J38:L38)</f>
        <v>0</v>
      </c>
      <c r="N38" s="53"/>
      <c r="O38" s="53"/>
      <c r="P38" s="53"/>
      <c r="Q38" s="55">
        <f t="shared" ref="Q38:Q44" si="20">SUM(N38:P38)</f>
        <v>0</v>
      </c>
      <c r="R38" s="53"/>
      <c r="S38" s="53"/>
      <c r="T38" s="53"/>
      <c r="U38" s="55">
        <f t="shared" ref="U38:U44" si="21">SUM(R38:T38)</f>
        <v>0</v>
      </c>
      <c r="V38" s="92"/>
      <c r="W38" s="48">
        <f t="shared" ref="W38:W43" si="22">SUM(I38,M38,Q38,U38)</f>
        <v>0</v>
      </c>
      <c r="X38" s="55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2813856</v>
      </c>
      <c r="Y38" s="55">
        <f t="shared" ref="Y38:Y44" si="23">X38-W38</f>
        <v>2813856</v>
      </c>
      <c r="Z38" s="93"/>
      <c r="AA38" s="93"/>
    </row>
    <row r="39" spans="1:29" ht="13" x14ac:dyDescent="0.15">
      <c r="A39" s="41"/>
      <c r="B39" s="41" t="s">
        <v>156</v>
      </c>
      <c r="C39" s="40"/>
      <c r="D39" s="80"/>
      <c r="E39" s="54"/>
      <c r="F39" s="80"/>
      <c r="G39" s="80"/>
      <c r="H39" s="80"/>
      <c r="I39" s="55">
        <f t="shared" si="18"/>
        <v>0</v>
      </c>
      <c r="J39" s="80"/>
      <c r="K39" s="80"/>
      <c r="L39" s="80"/>
      <c r="M39" s="55">
        <f t="shared" si="19"/>
        <v>0</v>
      </c>
      <c r="N39" s="80"/>
      <c r="O39" s="80"/>
      <c r="P39" s="80"/>
      <c r="Q39" s="55">
        <f t="shared" si="20"/>
        <v>0</v>
      </c>
      <c r="R39" s="80"/>
      <c r="S39" s="80"/>
      <c r="T39" s="80"/>
      <c r="U39" s="55">
        <f t="shared" si="21"/>
        <v>0</v>
      </c>
      <c r="V39" s="92"/>
      <c r="W39" s="48">
        <f t="shared" si="22"/>
        <v>0</v>
      </c>
      <c r="X39" s="55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526737</v>
      </c>
      <c r="Y39" s="55">
        <f t="shared" si="23"/>
        <v>526737</v>
      </c>
      <c r="Z39" s="93"/>
      <c r="AA39" s="93"/>
      <c r="AC39" s="51" t="s">
        <v>179</v>
      </c>
    </row>
    <row r="40" spans="1:29" ht="13" x14ac:dyDescent="0.15">
      <c r="A40" s="41"/>
      <c r="B40" s="41" t="s">
        <v>157</v>
      </c>
      <c r="C40" s="40"/>
      <c r="D40" s="80"/>
      <c r="E40" s="54"/>
      <c r="F40" s="80"/>
      <c r="G40" s="80"/>
      <c r="H40" s="80"/>
      <c r="I40" s="55">
        <f t="shared" si="18"/>
        <v>0</v>
      </c>
      <c r="J40" s="80"/>
      <c r="K40" s="80"/>
      <c r="L40" s="80"/>
      <c r="M40" s="55">
        <f t="shared" si="19"/>
        <v>0</v>
      </c>
      <c r="N40" s="80"/>
      <c r="O40" s="80"/>
      <c r="P40" s="80"/>
      <c r="Q40" s="55">
        <f t="shared" si="20"/>
        <v>0</v>
      </c>
      <c r="R40" s="80"/>
      <c r="S40" s="80"/>
      <c r="T40" s="80"/>
      <c r="U40" s="55">
        <f t="shared" si="21"/>
        <v>0</v>
      </c>
      <c r="V40" s="92"/>
      <c r="W40" s="48">
        <f t="shared" si="22"/>
        <v>0</v>
      </c>
      <c r="X40" s="55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55">
        <f t="shared" si="23"/>
        <v>0</v>
      </c>
      <c r="Z40" s="93"/>
      <c r="AA40" s="93"/>
      <c r="AC40" s="51" t="s">
        <v>180</v>
      </c>
    </row>
    <row r="41" spans="1:29" ht="13" x14ac:dyDescent="0.15">
      <c r="A41" s="41"/>
      <c r="B41" s="41" t="s">
        <v>23</v>
      </c>
      <c r="C41" s="40"/>
      <c r="D41" s="53"/>
      <c r="E41" s="54"/>
      <c r="F41" s="53"/>
      <c r="G41" s="53"/>
      <c r="H41" s="53"/>
      <c r="I41" s="55">
        <f t="shared" ref="I41:I44" si="24">SUM(F41:H41)</f>
        <v>0</v>
      </c>
      <c r="J41" s="53"/>
      <c r="K41" s="53"/>
      <c r="L41" s="53"/>
      <c r="M41" s="55">
        <f t="shared" si="19"/>
        <v>0</v>
      </c>
      <c r="N41" s="53"/>
      <c r="O41" s="53"/>
      <c r="P41" s="53"/>
      <c r="Q41" s="55">
        <f t="shared" si="20"/>
        <v>0</v>
      </c>
      <c r="R41" s="53"/>
      <c r="S41" s="53"/>
      <c r="T41" s="53"/>
      <c r="U41" s="55">
        <f t="shared" si="21"/>
        <v>0</v>
      </c>
      <c r="V41" s="92"/>
      <c r="W41" s="48">
        <f t="shared" si="22"/>
        <v>0</v>
      </c>
      <c r="X41" s="55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332800</v>
      </c>
      <c r="Y41" s="55">
        <f t="shared" si="23"/>
        <v>332800</v>
      </c>
      <c r="Z41" s="93"/>
      <c r="AA41" s="93"/>
    </row>
    <row r="42" spans="1:29" ht="13" x14ac:dyDescent="0.15">
      <c r="A42" s="41"/>
      <c r="B42" s="41" t="s">
        <v>24</v>
      </c>
      <c r="C42" s="40"/>
      <c r="D42" s="53"/>
      <c r="E42" s="54"/>
      <c r="F42" s="53"/>
      <c r="G42" s="53"/>
      <c r="H42" s="53"/>
      <c r="I42" s="55">
        <f t="shared" si="24"/>
        <v>0</v>
      </c>
      <c r="J42" s="53"/>
      <c r="K42" s="53"/>
      <c r="L42" s="53"/>
      <c r="M42" s="55">
        <f t="shared" si="19"/>
        <v>0</v>
      </c>
      <c r="N42" s="53"/>
      <c r="O42" s="53"/>
      <c r="P42" s="53"/>
      <c r="Q42" s="55">
        <f t="shared" si="20"/>
        <v>0</v>
      </c>
      <c r="R42" s="53"/>
      <c r="S42" s="53"/>
      <c r="T42" s="53"/>
      <c r="U42" s="55">
        <f t="shared" si="21"/>
        <v>0</v>
      </c>
      <c r="V42" s="92"/>
      <c r="W42" s="48">
        <f t="shared" si="22"/>
        <v>0</v>
      </c>
      <c r="X42" s="55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776957</v>
      </c>
      <c r="Y42" s="55">
        <f t="shared" si="23"/>
        <v>776957</v>
      </c>
      <c r="Z42" s="93"/>
      <c r="AA42" s="93"/>
    </row>
    <row r="43" spans="1:29" ht="13" x14ac:dyDescent="0.15">
      <c r="A43" s="41"/>
      <c r="B43" s="41" t="s">
        <v>158</v>
      </c>
      <c r="C43" s="40"/>
      <c r="D43" s="53"/>
      <c r="E43" s="54"/>
      <c r="F43" s="53"/>
      <c r="G43" s="53"/>
      <c r="H43" s="53"/>
      <c r="I43" s="55">
        <f t="shared" si="24"/>
        <v>0</v>
      </c>
      <c r="J43" s="53"/>
      <c r="K43" s="53"/>
      <c r="L43" s="53"/>
      <c r="M43" s="55">
        <f t="shared" si="19"/>
        <v>0</v>
      </c>
      <c r="N43" s="53"/>
      <c r="O43" s="53"/>
      <c r="P43" s="53"/>
      <c r="Q43" s="55">
        <f t="shared" si="20"/>
        <v>0</v>
      </c>
      <c r="R43" s="53"/>
      <c r="S43" s="53"/>
      <c r="T43" s="53"/>
      <c r="U43" s="55">
        <f t="shared" si="21"/>
        <v>0</v>
      </c>
      <c r="V43" s="92"/>
      <c r="W43" s="48">
        <f t="shared" si="22"/>
        <v>0</v>
      </c>
      <c r="X43" s="55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604368</v>
      </c>
      <c r="Y43" s="55">
        <f t="shared" si="23"/>
        <v>604368</v>
      </c>
      <c r="Z43" s="93"/>
      <c r="AA43" s="93"/>
    </row>
    <row r="44" spans="1:29" ht="13" x14ac:dyDescent="0.15">
      <c r="A44" s="41"/>
      <c r="B44" s="49" t="s">
        <v>25</v>
      </c>
      <c r="C44" s="40"/>
      <c r="D44" s="91">
        <f>SUM(D38:D43)</f>
        <v>0</v>
      </c>
      <c r="E44" s="94"/>
      <c r="F44" s="91">
        <f>SUM(F38:F43)</f>
        <v>0</v>
      </c>
      <c r="G44" s="91">
        <f>SUM(G38:G43)</f>
        <v>0</v>
      </c>
      <c r="H44" s="91">
        <f>SUM(H38:H43)</f>
        <v>0</v>
      </c>
      <c r="I44" s="91">
        <f t="shared" si="24"/>
        <v>0</v>
      </c>
      <c r="J44" s="91">
        <f>SUM(J38:J43)</f>
        <v>0</v>
      </c>
      <c r="K44" s="91">
        <f>SUM(K38:K43)</f>
        <v>0</v>
      </c>
      <c r="L44" s="91">
        <f>SUM(L38:L43)</f>
        <v>0</v>
      </c>
      <c r="M44" s="91">
        <f t="shared" si="19"/>
        <v>0</v>
      </c>
      <c r="N44" s="91">
        <f>SUM(N38:N43)</f>
        <v>0</v>
      </c>
      <c r="O44" s="91">
        <f>SUM(O38:O43)</f>
        <v>0</v>
      </c>
      <c r="P44" s="91">
        <f>SUM(P38:P43)</f>
        <v>0</v>
      </c>
      <c r="Q44" s="91">
        <f t="shared" si="20"/>
        <v>0</v>
      </c>
      <c r="R44" s="91">
        <f>SUM(R38:R43)</f>
        <v>0</v>
      </c>
      <c r="S44" s="91">
        <f>SUM(S38:S43)</f>
        <v>0</v>
      </c>
      <c r="T44" s="91">
        <f>SUM(T38:T43)</f>
        <v>0</v>
      </c>
      <c r="U44" s="91">
        <f t="shared" si="21"/>
        <v>0</v>
      </c>
      <c r="V44" s="92"/>
      <c r="W44" s="91">
        <f>SUM(W38:W43)</f>
        <v>0</v>
      </c>
      <c r="X44" s="91">
        <f>SUM(X38:X43)</f>
        <v>5054718</v>
      </c>
      <c r="Y44" s="91">
        <f t="shared" si="23"/>
        <v>5054718</v>
      </c>
      <c r="Z44" s="93"/>
      <c r="AA44" s="93"/>
    </row>
    <row r="45" spans="1:29" ht="13" x14ac:dyDescent="0.15">
      <c r="A45" s="41"/>
      <c r="B45" s="46"/>
      <c r="C45" s="4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2"/>
      <c r="W45" s="94"/>
      <c r="X45" s="94"/>
      <c r="Y45" s="94"/>
      <c r="Z45" s="93"/>
      <c r="AA45" s="93"/>
    </row>
    <row r="46" spans="1:29" ht="13" x14ac:dyDescent="0.15">
      <c r="A46" s="56" t="s">
        <v>160</v>
      </c>
      <c r="B46" s="41"/>
      <c r="C46" s="40"/>
      <c r="D46" s="55"/>
      <c r="E46" s="5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92"/>
      <c r="W46" s="55"/>
      <c r="X46" s="55"/>
      <c r="Y46" s="55"/>
      <c r="Z46" s="93"/>
      <c r="AA46" s="93"/>
    </row>
    <row r="47" spans="1:29" ht="13" x14ac:dyDescent="0.15">
      <c r="A47" s="41"/>
      <c r="B47" s="41" t="s">
        <v>26</v>
      </c>
      <c r="C47" s="40"/>
      <c r="D47" s="53"/>
      <c r="E47" s="54"/>
      <c r="F47" s="53"/>
      <c r="G47" s="53"/>
      <c r="H47" s="53"/>
      <c r="I47" s="55">
        <f t="shared" ref="I47" si="25">SUM(F47:H47)</f>
        <v>0</v>
      </c>
      <c r="J47" s="53"/>
      <c r="K47" s="53"/>
      <c r="L47" s="53"/>
      <c r="M47" s="55">
        <f t="shared" ref="M47:M59" si="26">SUM(J47:L47)</f>
        <v>0</v>
      </c>
      <c r="N47" s="53"/>
      <c r="O47" s="53"/>
      <c r="P47" s="53"/>
      <c r="Q47" s="55">
        <f t="shared" ref="Q47:Q59" si="27">SUM(N47:P47)</f>
        <v>0</v>
      </c>
      <c r="R47" s="53"/>
      <c r="S47" s="53"/>
      <c r="T47" s="53"/>
      <c r="U47" s="55">
        <f t="shared" ref="U47:U59" si="28">SUM(R47:T47)</f>
        <v>0</v>
      </c>
      <c r="V47" s="92"/>
      <c r="W47" s="48">
        <f t="shared" ref="W47:W58" si="29">SUM(I47,M47,Q47,U47)</f>
        <v>0</v>
      </c>
      <c r="X47" s="55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45209</v>
      </c>
      <c r="Y47" s="55">
        <f t="shared" ref="Y47:Y59" si="30">X47-W47</f>
        <v>45209</v>
      </c>
      <c r="Z47" s="93"/>
      <c r="AA47" s="93"/>
    </row>
    <row r="48" spans="1:29" ht="13" x14ac:dyDescent="0.15">
      <c r="A48" s="41"/>
      <c r="B48" s="41" t="s">
        <v>27</v>
      </c>
      <c r="C48" s="40"/>
      <c r="D48" s="53"/>
      <c r="E48" s="54"/>
      <c r="F48" s="53"/>
      <c r="G48" s="53"/>
      <c r="H48" s="53"/>
      <c r="I48" s="55">
        <f t="shared" ref="I48:I59" si="31">SUM(F48:H48)</f>
        <v>0</v>
      </c>
      <c r="J48" s="53"/>
      <c r="K48" s="53"/>
      <c r="L48" s="53"/>
      <c r="M48" s="55">
        <f t="shared" si="26"/>
        <v>0</v>
      </c>
      <c r="N48" s="53"/>
      <c r="O48" s="53"/>
      <c r="P48" s="53"/>
      <c r="Q48" s="55">
        <f t="shared" si="27"/>
        <v>0</v>
      </c>
      <c r="R48" s="53"/>
      <c r="S48" s="53"/>
      <c r="T48" s="53"/>
      <c r="U48" s="55">
        <f t="shared" si="28"/>
        <v>0</v>
      </c>
      <c r="V48" s="92"/>
      <c r="W48" s="48">
        <f t="shared" si="29"/>
        <v>0</v>
      </c>
      <c r="X48" s="55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105224</v>
      </c>
      <c r="Y48" s="55">
        <f t="shared" si="30"/>
        <v>105224</v>
      </c>
      <c r="Z48" s="93"/>
      <c r="AA48" s="93"/>
    </row>
    <row r="49" spans="1:29" ht="13" x14ac:dyDescent="0.15">
      <c r="A49" s="41"/>
      <c r="B49" s="41" t="s">
        <v>28</v>
      </c>
      <c r="C49" s="40"/>
      <c r="D49" s="53"/>
      <c r="E49" s="54"/>
      <c r="F49" s="53"/>
      <c r="G49" s="53"/>
      <c r="H49" s="53"/>
      <c r="I49" s="55">
        <f t="shared" si="31"/>
        <v>0</v>
      </c>
      <c r="J49" s="53"/>
      <c r="K49" s="53"/>
      <c r="L49" s="53"/>
      <c r="M49" s="55">
        <f t="shared" si="26"/>
        <v>0</v>
      </c>
      <c r="N49" s="53"/>
      <c r="O49" s="53"/>
      <c r="P49" s="53"/>
      <c r="Q49" s="55">
        <f t="shared" si="27"/>
        <v>0</v>
      </c>
      <c r="R49" s="53"/>
      <c r="S49" s="53"/>
      <c r="T49" s="53"/>
      <c r="U49" s="55">
        <f t="shared" si="28"/>
        <v>0</v>
      </c>
      <c r="V49" s="92"/>
      <c r="W49" s="48">
        <f t="shared" si="29"/>
        <v>0</v>
      </c>
      <c r="X49" s="55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120441</v>
      </c>
      <c r="Y49" s="55">
        <f t="shared" si="30"/>
        <v>120441</v>
      </c>
      <c r="Z49" s="93"/>
      <c r="AA49" s="93"/>
    </row>
    <row r="50" spans="1:29" ht="13" x14ac:dyDescent="0.15">
      <c r="A50" s="41"/>
      <c r="B50" s="41" t="s">
        <v>29</v>
      </c>
      <c r="C50" s="40"/>
      <c r="D50" s="53"/>
      <c r="E50" s="54"/>
      <c r="F50" s="53"/>
      <c r="G50" s="53"/>
      <c r="H50" s="53"/>
      <c r="I50" s="55">
        <f t="shared" si="31"/>
        <v>0</v>
      </c>
      <c r="J50" s="53"/>
      <c r="K50" s="53"/>
      <c r="L50" s="53"/>
      <c r="M50" s="55">
        <f t="shared" si="26"/>
        <v>0</v>
      </c>
      <c r="N50" s="53"/>
      <c r="O50" s="53"/>
      <c r="P50" s="53"/>
      <c r="Q50" s="55">
        <f t="shared" si="27"/>
        <v>0</v>
      </c>
      <c r="R50" s="53"/>
      <c r="S50" s="53"/>
      <c r="T50" s="53"/>
      <c r="U50" s="55">
        <f t="shared" si="28"/>
        <v>0</v>
      </c>
      <c r="V50" s="92"/>
      <c r="W50" s="48">
        <f t="shared" si="29"/>
        <v>0</v>
      </c>
      <c r="X50" s="55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248528</v>
      </c>
      <c r="Y50" s="55">
        <f t="shared" si="30"/>
        <v>248528</v>
      </c>
      <c r="Z50" s="93"/>
      <c r="AA50" s="93"/>
    </row>
    <row r="51" spans="1:29" ht="13" x14ac:dyDescent="0.15">
      <c r="A51" s="41"/>
      <c r="B51" s="41" t="s">
        <v>30</v>
      </c>
      <c r="C51" s="40"/>
      <c r="D51" s="53"/>
      <c r="E51" s="54"/>
      <c r="F51" s="53"/>
      <c r="G51" s="53"/>
      <c r="H51" s="53"/>
      <c r="I51" s="55">
        <f t="shared" si="31"/>
        <v>0</v>
      </c>
      <c r="J51" s="53"/>
      <c r="K51" s="53"/>
      <c r="L51" s="53"/>
      <c r="M51" s="55">
        <f t="shared" si="26"/>
        <v>0</v>
      </c>
      <c r="N51" s="53"/>
      <c r="O51" s="53"/>
      <c r="P51" s="53"/>
      <c r="Q51" s="55">
        <f t="shared" si="27"/>
        <v>0</v>
      </c>
      <c r="R51" s="53"/>
      <c r="S51" s="53"/>
      <c r="T51" s="53"/>
      <c r="U51" s="55">
        <f t="shared" si="28"/>
        <v>0</v>
      </c>
      <c r="V51" s="92"/>
      <c r="W51" s="48">
        <f t="shared" si="29"/>
        <v>0</v>
      </c>
      <c r="X51" s="55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99865</v>
      </c>
      <c r="Y51" s="55">
        <f t="shared" si="30"/>
        <v>99865</v>
      </c>
      <c r="Z51" s="93"/>
      <c r="AA51" s="93"/>
    </row>
    <row r="52" spans="1:29" ht="13" x14ac:dyDescent="0.15">
      <c r="A52" s="41"/>
      <c r="B52" s="41" t="s">
        <v>31</v>
      </c>
      <c r="C52" s="40"/>
      <c r="D52" s="53"/>
      <c r="E52" s="54"/>
      <c r="F52" s="53"/>
      <c r="G52" s="53"/>
      <c r="H52" s="53"/>
      <c r="I52" s="55">
        <f t="shared" si="31"/>
        <v>0</v>
      </c>
      <c r="J52" s="53"/>
      <c r="K52" s="53"/>
      <c r="L52" s="53"/>
      <c r="M52" s="55">
        <f t="shared" si="26"/>
        <v>0</v>
      </c>
      <c r="N52" s="53"/>
      <c r="O52" s="53"/>
      <c r="P52" s="53"/>
      <c r="Q52" s="55">
        <f t="shared" si="27"/>
        <v>0</v>
      </c>
      <c r="R52" s="53"/>
      <c r="S52" s="53"/>
      <c r="T52" s="53"/>
      <c r="U52" s="55">
        <f t="shared" si="28"/>
        <v>0</v>
      </c>
      <c r="V52" s="92"/>
      <c r="W52" s="48">
        <f t="shared" si="29"/>
        <v>0</v>
      </c>
      <c r="X52" s="55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55">
        <f t="shared" si="30"/>
        <v>0</v>
      </c>
      <c r="Z52" s="93"/>
      <c r="AA52" s="93"/>
    </row>
    <row r="53" spans="1:29" ht="13" x14ac:dyDescent="0.15">
      <c r="A53" s="41"/>
      <c r="B53" s="41" t="s">
        <v>161</v>
      </c>
      <c r="C53" s="40"/>
      <c r="D53" s="80"/>
      <c r="E53" s="54"/>
      <c r="F53" s="80"/>
      <c r="G53" s="80"/>
      <c r="H53" s="80"/>
      <c r="I53" s="55">
        <f t="shared" si="31"/>
        <v>0</v>
      </c>
      <c r="J53" s="80"/>
      <c r="K53" s="80"/>
      <c r="L53" s="80"/>
      <c r="M53" s="55">
        <f t="shared" si="26"/>
        <v>0</v>
      </c>
      <c r="N53" s="80"/>
      <c r="O53" s="80"/>
      <c r="P53" s="80"/>
      <c r="Q53" s="55">
        <f t="shared" si="27"/>
        <v>0</v>
      </c>
      <c r="R53" s="80"/>
      <c r="S53" s="80"/>
      <c r="T53" s="80"/>
      <c r="U53" s="55">
        <f t="shared" si="28"/>
        <v>0</v>
      </c>
      <c r="V53" s="92"/>
      <c r="W53" s="48">
        <f t="shared" si="29"/>
        <v>0</v>
      </c>
      <c r="X53" s="55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247620</v>
      </c>
      <c r="Y53" s="55">
        <f t="shared" si="30"/>
        <v>247620</v>
      </c>
      <c r="Z53" s="93"/>
      <c r="AA53" s="93"/>
    </row>
    <row r="54" spans="1:29" ht="13" x14ac:dyDescent="0.15">
      <c r="A54" s="41"/>
      <c r="B54" s="41" t="s">
        <v>162</v>
      </c>
      <c r="C54" s="40"/>
      <c r="D54" s="80"/>
      <c r="E54" s="54"/>
      <c r="F54" s="80"/>
      <c r="G54" s="80"/>
      <c r="H54" s="80"/>
      <c r="I54" s="55">
        <f t="shared" si="31"/>
        <v>0</v>
      </c>
      <c r="J54" s="80"/>
      <c r="K54" s="80"/>
      <c r="L54" s="80"/>
      <c r="M54" s="55">
        <f t="shared" si="26"/>
        <v>0</v>
      </c>
      <c r="N54" s="80"/>
      <c r="O54" s="80"/>
      <c r="P54" s="80"/>
      <c r="Q54" s="55">
        <f t="shared" si="27"/>
        <v>0</v>
      </c>
      <c r="R54" s="80"/>
      <c r="S54" s="80"/>
      <c r="T54" s="80"/>
      <c r="U54" s="55">
        <f t="shared" si="28"/>
        <v>0</v>
      </c>
      <c r="V54" s="92"/>
      <c r="W54" s="48">
        <f t="shared" si="29"/>
        <v>0</v>
      </c>
      <c r="X54" s="55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278037</v>
      </c>
      <c r="Y54" s="55">
        <f t="shared" si="30"/>
        <v>278037</v>
      </c>
      <c r="Z54" s="93"/>
      <c r="AA54" s="93"/>
    </row>
    <row r="55" spans="1:29" ht="13" x14ac:dyDescent="0.15">
      <c r="A55" s="41"/>
      <c r="B55" s="41" t="s">
        <v>33</v>
      </c>
      <c r="C55" s="40"/>
      <c r="D55" s="80"/>
      <c r="E55" s="54"/>
      <c r="F55" s="80"/>
      <c r="G55" s="80"/>
      <c r="H55" s="80"/>
      <c r="I55" s="55">
        <f t="shared" si="31"/>
        <v>0</v>
      </c>
      <c r="J55" s="80"/>
      <c r="K55" s="80"/>
      <c r="L55" s="80"/>
      <c r="M55" s="55">
        <f t="shared" si="26"/>
        <v>0</v>
      </c>
      <c r="N55" s="80"/>
      <c r="O55" s="80"/>
      <c r="P55" s="80"/>
      <c r="Q55" s="55">
        <f t="shared" si="27"/>
        <v>0</v>
      </c>
      <c r="R55" s="80"/>
      <c r="S55" s="80"/>
      <c r="T55" s="80"/>
      <c r="U55" s="55">
        <f t="shared" si="28"/>
        <v>0</v>
      </c>
      <c r="V55" s="92"/>
      <c r="W55" s="48">
        <f t="shared" si="29"/>
        <v>0</v>
      </c>
      <c r="X55" s="55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55">
        <f t="shared" si="30"/>
        <v>0</v>
      </c>
      <c r="Z55" s="93"/>
      <c r="AA55" s="93"/>
    </row>
    <row r="56" spans="1:29" ht="13" x14ac:dyDescent="0.15">
      <c r="A56" s="41"/>
      <c r="B56" s="41" t="s">
        <v>163</v>
      </c>
      <c r="C56" s="40"/>
      <c r="D56" s="80"/>
      <c r="E56" s="54"/>
      <c r="F56" s="80"/>
      <c r="G56" s="80"/>
      <c r="H56" s="80"/>
      <c r="I56" s="55">
        <f t="shared" si="31"/>
        <v>0</v>
      </c>
      <c r="J56" s="80"/>
      <c r="K56" s="80"/>
      <c r="L56" s="80"/>
      <c r="M56" s="55">
        <f t="shared" si="26"/>
        <v>0</v>
      </c>
      <c r="N56" s="80"/>
      <c r="O56" s="80"/>
      <c r="P56" s="80"/>
      <c r="Q56" s="55">
        <f t="shared" si="27"/>
        <v>0</v>
      </c>
      <c r="R56" s="80"/>
      <c r="S56" s="80"/>
      <c r="T56" s="80"/>
      <c r="U56" s="55">
        <f t="shared" si="28"/>
        <v>0</v>
      </c>
      <c r="V56" s="92"/>
      <c r="W56" s="48">
        <f t="shared" si="29"/>
        <v>0</v>
      </c>
      <c r="X56" s="55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55">
        <f t="shared" si="30"/>
        <v>0</v>
      </c>
      <c r="Z56" s="93"/>
      <c r="AA56" s="93"/>
      <c r="AC56" s="51" t="s">
        <v>181</v>
      </c>
    </row>
    <row r="57" spans="1:29" ht="13" x14ac:dyDescent="0.15">
      <c r="A57" s="41"/>
      <c r="B57" s="41" t="s">
        <v>164</v>
      </c>
      <c r="C57" s="40"/>
      <c r="D57" s="80"/>
      <c r="E57" s="54"/>
      <c r="F57" s="80"/>
      <c r="G57" s="80"/>
      <c r="H57" s="80"/>
      <c r="I57" s="55">
        <f t="shared" si="31"/>
        <v>0</v>
      </c>
      <c r="J57" s="80"/>
      <c r="K57" s="80"/>
      <c r="L57" s="80"/>
      <c r="M57" s="55">
        <f t="shared" si="26"/>
        <v>0</v>
      </c>
      <c r="N57" s="80"/>
      <c r="O57" s="80"/>
      <c r="P57" s="80"/>
      <c r="Q57" s="55">
        <f t="shared" si="27"/>
        <v>0</v>
      </c>
      <c r="R57" s="80"/>
      <c r="S57" s="80"/>
      <c r="T57" s="80"/>
      <c r="U57" s="55">
        <f t="shared" si="28"/>
        <v>0</v>
      </c>
      <c r="V57" s="92"/>
      <c r="W57" s="48">
        <f t="shared" si="29"/>
        <v>0</v>
      </c>
      <c r="X57" s="55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359132</v>
      </c>
      <c r="Y57" s="55">
        <f t="shared" si="30"/>
        <v>359132</v>
      </c>
      <c r="Z57" s="93"/>
      <c r="AA57" s="93"/>
      <c r="AC57" s="51" t="s">
        <v>182</v>
      </c>
    </row>
    <row r="58" spans="1:29" ht="13" x14ac:dyDescent="0.15">
      <c r="A58" s="41"/>
      <c r="B58" s="41" t="s">
        <v>34</v>
      </c>
      <c r="C58" s="40"/>
      <c r="D58" s="53"/>
      <c r="E58" s="54"/>
      <c r="F58" s="53"/>
      <c r="G58" s="53"/>
      <c r="H58" s="53"/>
      <c r="I58" s="55">
        <f t="shared" si="31"/>
        <v>0</v>
      </c>
      <c r="J58" s="53"/>
      <c r="K58" s="53"/>
      <c r="L58" s="53"/>
      <c r="M58" s="55">
        <f t="shared" si="26"/>
        <v>0</v>
      </c>
      <c r="N58" s="53"/>
      <c r="O58" s="53"/>
      <c r="P58" s="53"/>
      <c r="Q58" s="55">
        <f t="shared" si="27"/>
        <v>0</v>
      </c>
      <c r="R58" s="53"/>
      <c r="S58" s="53"/>
      <c r="T58" s="53"/>
      <c r="U58" s="55">
        <f t="shared" si="28"/>
        <v>0</v>
      </c>
      <c r="V58" s="92"/>
      <c r="W58" s="48">
        <f t="shared" si="29"/>
        <v>0</v>
      </c>
      <c r="X58" s="55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576618</v>
      </c>
      <c r="Y58" s="55">
        <f t="shared" si="30"/>
        <v>576618</v>
      </c>
      <c r="Z58" s="93"/>
      <c r="AA58" s="93"/>
    </row>
    <row r="59" spans="1:29" ht="13" x14ac:dyDescent="0.15">
      <c r="A59" s="41"/>
      <c r="B59" s="49" t="s">
        <v>35</v>
      </c>
      <c r="C59" s="40"/>
      <c r="D59" s="91">
        <f>SUM(D47:D58)</f>
        <v>0</v>
      </c>
      <c r="E59" s="94"/>
      <c r="F59" s="91">
        <f>SUM(F47:F58)</f>
        <v>0</v>
      </c>
      <c r="G59" s="91">
        <f t="shared" ref="G59:H59" si="32">SUM(G47:G58)</f>
        <v>0</v>
      </c>
      <c r="H59" s="91">
        <f t="shared" si="32"/>
        <v>0</v>
      </c>
      <c r="I59" s="91">
        <f t="shared" si="31"/>
        <v>0</v>
      </c>
      <c r="J59" s="91">
        <f>SUM(J47:J58)</f>
        <v>0</v>
      </c>
      <c r="K59" s="91">
        <f t="shared" ref="K59" si="33">SUM(K47:K58)</f>
        <v>0</v>
      </c>
      <c r="L59" s="91">
        <f t="shared" ref="L59" si="34">SUM(L47:L58)</f>
        <v>0</v>
      </c>
      <c r="M59" s="91">
        <f t="shared" si="26"/>
        <v>0</v>
      </c>
      <c r="N59" s="91">
        <f>SUM(N47:N58)</f>
        <v>0</v>
      </c>
      <c r="O59" s="91">
        <f t="shared" ref="O59" si="35">SUM(O47:O58)</f>
        <v>0</v>
      </c>
      <c r="P59" s="91">
        <f t="shared" ref="P59" si="36">SUM(P47:P58)</f>
        <v>0</v>
      </c>
      <c r="Q59" s="91">
        <f t="shared" si="27"/>
        <v>0</v>
      </c>
      <c r="R59" s="91">
        <f>SUM(R47:R58)</f>
        <v>0</v>
      </c>
      <c r="S59" s="91">
        <f t="shared" ref="S59" si="37">SUM(S47:S58)</f>
        <v>0</v>
      </c>
      <c r="T59" s="91">
        <f t="shared" ref="T59" si="38">SUM(T47:T58)</f>
        <v>0</v>
      </c>
      <c r="U59" s="91">
        <f t="shared" si="28"/>
        <v>0</v>
      </c>
      <c r="V59" s="92"/>
      <c r="W59" s="91">
        <f>SUM(W47:W58)</f>
        <v>0</v>
      </c>
      <c r="X59" s="91">
        <f>SUM(X47:X58)</f>
        <v>2080674</v>
      </c>
      <c r="Y59" s="91">
        <f t="shared" si="30"/>
        <v>2080674</v>
      </c>
      <c r="Z59" s="93"/>
      <c r="AA59" s="93"/>
    </row>
    <row r="60" spans="1:29" ht="13" x14ac:dyDescent="0.15">
      <c r="A60" s="41"/>
      <c r="B60" s="46"/>
      <c r="C60" s="40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2"/>
      <c r="W60" s="94"/>
      <c r="X60" s="94"/>
      <c r="Y60" s="94"/>
      <c r="Z60" s="93"/>
      <c r="AA60" s="93"/>
    </row>
    <row r="61" spans="1:29" ht="13" x14ac:dyDescent="0.15">
      <c r="A61" s="41"/>
      <c r="B61" s="49" t="s">
        <v>165</v>
      </c>
      <c r="C61" s="40"/>
      <c r="D61" s="91">
        <f>D59+D44+D35+D27</f>
        <v>0</v>
      </c>
      <c r="E61" s="94"/>
      <c r="F61" s="91">
        <f t="shared" ref="F61:U61" si="39">F59+F44+F35+F27</f>
        <v>0</v>
      </c>
      <c r="G61" s="91">
        <f t="shared" si="39"/>
        <v>0</v>
      </c>
      <c r="H61" s="91">
        <f t="shared" si="39"/>
        <v>0</v>
      </c>
      <c r="I61" s="91">
        <f t="shared" si="39"/>
        <v>0</v>
      </c>
      <c r="J61" s="91">
        <f t="shared" si="39"/>
        <v>0</v>
      </c>
      <c r="K61" s="91">
        <f t="shared" si="39"/>
        <v>0</v>
      </c>
      <c r="L61" s="91">
        <f t="shared" si="39"/>
        <v>0</v>
      </c>
      <c r="M61" s="91">
        <f t="shared" si="39"/>
        <v>0</v>
      </c>
      <c r="N61" s="91">
        <f t="shared" si="39"/>
        <v>0</v>
      </c>
      <c r="O61" s="91">
        <f t="shared" si="39"/>
        <v>0</v>
      </c>
      <c r="P61" s="91">
        <f t="shared" si="39"/>
        <v>0</v>
      </c>
      <c r="Q61" s="91">
        <f t="shared" si="39"/>
        <v>0</v>
      </c>
      <c r="R61" s="91">
        <f t="shared" si="39"/>
        <v>0</v>
      </c>
      <c r="S61" s="91">
        <f t="shared" si="39"/>
        <v>0</v>
      </c>
      <c r="T61" s="91">
        <f t="shared" si="39"/>
        <v>0</v>
      </c>
      <c r="U61" s="91">
        <f t="shared" si="39"/>
        <v>0</v>
      </c>
      <c r="V61" s="92"/>
      <c r="W61" s="91">
        <f>W59+W44+W35+W27</f>
        <v>0</v>
      </c>
      <c r="X61" s="91">
        <f>X59+X44+X35+X27</f>
        <v>30701985</v>
      </c>
      <c r="Y61" s="91">
        <f t="shared" ref="Y61:Y62" si="40">X61-W61</f>
        <v>30701985</v>
      </c>
      <c r="Z61" s="93"/>
      <c r="AA61" s="93"/>
    </row>
    <row r="62" spans="1:29" ht="12.75" customHeight="1" x14ac:dyDescent="0.15">
      <c r="A62" s="50" t="s">
        <v>166</v>
      </c>
      <c r="B62" s="49"/>
      <c r="C62" s="40"/>
      <c r="D62" s="91">
        <f>D16-D61</f>
        <v>0</v>
      </c>
      <c r="E62" s="94"/>
      <c r="F62" s="91">
        <f t="shared" ref="F62:U62" si="41">F16-F61</f>
        <v>0</v>
      </c>
      <c r="G62" s="91">
        <f t="shared" si="41"/>
        <v>0</v>
      </c>
      <c r="H62" s="91">
        <f t="shared" si="41"/>
        <v>0</v>
      </c>
      <c r="I62" s="91">
        <f t="shared" si="41"/>
        <v>0</v>
      </c>
      <c r="J62" s="91">
        <f t="shared" si="41"/>
        <v>0</v>
      </c>
      <c r="K62" s="91">
        <f t="shared" si="41"/>
        <v>0</v>
      </c>
      <c r="L62" s="91">
        <f t="shared" si="41"/>
        <v>0</v>
      </c>
      <c r="M62" s="91">
        <f t="shared" si="41"/>
        <v>0</v>
      </c>
      <c r="N62" s="91">
        <f t="shared" si="41"/>
        <v>0</v>
      </c>
      <c r="O62" s="91">
        <f t="shared" si="41"/>
        <v>0</v>
      </c>
      <c r="P62" s="91">
        <f t="shared" si="41"/>
        <v>0</v>
      </c>
      <c r="Q62" s="91">
        <f t="shared" si="41"/>
        <v>0</v>
      </c>
      <c r="R62" s="91">
        <f t="shared" si="41"/>
        <v>0</v>
      </c>
      <c r="S62" s="91">
        <f t="shared" si="41"/>
        <v>0</v>
      </c>
      <c r="T62" s="91">
        <f t="shared" si="41"/>
        <v>0</v>
      </c>
      <c r="U62" s="91">
        <f t="shared" si="41"/>
        <v>0</v>
      </c>
      <c r="V62" s="92"/>
      <c r="W62" s="91">
        <f>W16-W61</f>
        <v>0</v>
      </c>
      <c r="X62" s="91">
        <f>X16-X61</f>
        <v>190973</v>
      </c>
      <c r="Y62" s="91">
        <f t="shared" si="40"/>
        <v>190973</v>
      </c>
      <c r="Z62" s="93"/>
      <c r="AA62" s="93"/>
    </row>
    <row r="63" spans="1:29" ht="12.75" customHeight="1" x14ac:dyDescent="0.15">
      <c r="A63" s="50"/>
      <c r="B63" s="46"/>
      <c r="C63" s="40"/>
      <c r="D63" s="97"/>
      <c r="E63" s="94"/>
      <c r="F63" s="97"/>
      <c r="G63" s="97"/>
      <c r="H63" s="97"/>
      <c r="I63" s="94"/>
      <c r="J63" s="97"/>
      <c r="K63" s="97"/>
      <c r="L63" s="97"/>
      <c r="M63" s="94"/>
      <c r="N63" s="97"/>
      <c r="O63" s="97"/>
      <c r="P63" s="97"/>
      <c r="Q63" s="94"/>
      <c r="R63" s="97"/>
      <c r="S63" s="97"/>
      <c r="T63" s="97"/>
      <c r="U63" s="94"/>
      <c r="V63" s="92"/>
      <c r="W63" s="94"/>
      <c r="X63" s="94"/>
      <c r="Y63" s="94"/>
      <c r="Z63" s="93"/>
      <c r="AA63" s="93"/>
    </row>
    <row r="64" spans="1:29" ht="14" thickBot="1" x14ac:dyDescent="0.2">
      <c r="A64" s="50" t="s">
        <v>36</v>
      </c>
      <c r="B64" s="49"/>
      <c r="C64" s="40"/>
      <c r="D64" s="99">
        <f>D62</f>
        <v>0</v>
      </c>
      <c r="E64" s="94"/>
      <c r="F64" s="91">
        <f t="shared" ref="F64:U64" si="42">F62</f>
        <v>0</v>
      </c>
      <c r="G64" s="91">
        <f t="shared" si="42"/>
        <v>0</v>
      </c>
      <c r="H64" s="91">
        <f t="shared" si="42"/>
        <v>0</v>
      </c>
      <c r="I64" s="99">
        <f t="shared" si="42"/>
        <v>0</v>
      </c>
      <c r="J64" s="99">
        <f t="shared" si="42"/>
        <v>0</v>
      </c>
      <c r="K64" s="99">
        <f t="shared" si="42"/>
        <v>0</v>
      </c>
      <c r="L64" s="99">
        <f t="shared" si="42"/>
        <v>0</v>
      </c>
      <c r="M64" s="99">
        <f t="shared" si="42"/>
        <v>0</v>
      </c>
      <c r="N64" s="99">
        <f t="shared" si="42"/>
        <v>0</v>
      </c>
      <c r="O64" s="99">
        <f t="shared" si="42"/>
        <v>0</v>
      </c>
      <c r="P64" s="99">
        <f t="shared" si="42"/>
        <v>0</v>
      </c>
      <c r="Q64" s="99">
        <f t="shared" si="42"/>
        <v>0</v>
      </c>
      <c r="R64" s="99">
        <f t="shared" si="42"/>
        <v>0</v>
      </c>
      <c r="S64" s="99">
        <f t="shared" si="42"/>
        <v>0</v>
      </c>
      <c r="T64" s="99">
        <f t="shared" si="42"/>
        <v>0</v>
      </c>
      <c r="U64" s="99">
        <f t="shared" si="42"/>
        <v>0</v>
      </c>
      <c r="V64" s="92"/>
      <c r="W64" s="99">
        <f>W62</f>
        <v>0</v>
      </c>
      <c r="X64" s="99">
        <f>X62</f>
        <v>190973</v>
      </c>
      <c r="Y64" s="99">
        <f t="shared" ref="Y64" si="43">X64-W64</f>
        <v>190973</v>
      </c>
      <c r="Z64" s="93"/>
      <c r="AA64" s="93"/>
    </row>
    <row r="65" spans="1:27" ht="12.75" customHeight="1" thickTop="1" x14ac:dyDescent="0.15">
      <c r="D65" s="93"/>
      <c r="E65" s="54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spans="1:27" ht="12.75" customHeight="1" x14ac:dyDescent="0.15">
      <c r="A66" s="46" t="s">
        <v>129</v>
      </c>
      <c r="D66" s="93"/>
      <c r="E66" s="54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spans="1:27" ht="12.75" customHeight="1" x14ac:dyDescent="0.15">
      <c r="B67" s="38" t="s">
        <v>130</v>
      </c>
      <c r="D67" s="53"/>
      <c r="E67" s="54"/>
      <c r="F67" s="53"/>
      <c r="G67" s="53"/>
      <c r="H67" s="53"/>
      <c r="I67" s="55">
        <f t="shared" ref="I67:I69" si="44">SUM(F67:H67)</f>
        <v>0</v>
      </c>
      <c r="J67" s="53"/>
      <c r="K67" s="53"/>
      <c r="L67" s="53"/>
      <c r="M67" s="55">
        <f t="shared" ref="M67:M70" si="45">SUM(J67:L67)</f>
        <v>0</v>
      </c>
      <c r="N67" s="53"/>
      <c r="O67" s="53"/>
      <c r="P67" s="53"/>
      <c r="Q67" s="55">
        <f t="shared" ref="Q67:Q70" si="46">SUM(N67:P67)</f>
        <v>0</v>
      </c>
      <c r="R67" s="53"/>
      <c r="S67" s="53"/>
      <c r="T67" s="53"/>
      <c r="U67" s="55">
        <f t="shared" ref="U67:U70" si="47">SUM(R67:T67)</f>
        <v>0</v>
      </c>
      <c r="V67" s="93"/>
      <c r="W67" s="93"/>
      <c r="X67" s="93"/>
      <c r="Y67" s="93"/>
      <c r="Z67" s="93"/>
      <c r="AA67" s="93"/>
    </row>
    <row r="68" spans="1:27" ht="12.75" customHeight="1" x14ac:dyDescent="0.15">
      <c r="B68" s="38" t="s">
        <v>131</v>
      </c>
      <c r="D68" s="53"/>
      <c r="E68" s="54"/>
      <c r="F68" s="53"/>
      <c r="G68" s="53"/>
      <c r="H68" s="53"/>
      <c r="I68" s="55">
        <f t="shared" si="44"/>
        <v>0</v>
      </c>
      <c r="J68" s="53"/>
      <c r="K68" s="53"/>
      <c r="L68" s="53"/>
      <c r="M68" s="55">
        <f t="shared" si="45"/>
        <v>0</v>
      </c>
      <c r="N68" s="53"/>
      <c r="O68" s="53"/>
      <c r="P68" s="53"/>
      <c r="Q68" s="55">
        <f t="shared" si="46"/>
        <v>0</v>
      </c>
      <c r="R68" s="53"/>
      <c r="S68" s="53"/>
      <c r="T68" s="53"/>
      <c r="U68" s="55">
        <f t="shared" si="47"/>
        <v>0</v>
      </c>
      <c r="V68" s="93"/>
      <c r="W68" s="93"/>
      <c r="X68" s="93"/>
      <c r="Y68" s="93"/>
      <c r="Z68" s="93"/>
      <c r="AA68" s="93"/>
    </row>
    <row r="69" spans="1:27" ht="12.75" customHeight="1" x14ac:dyDescent="0.15">
      <c r="B69" s="38" t="s">
        <v>132</v>
      </c>
      <c r="D69" s="53"/>
      <c r="E69" s="54"/>
      <c r="F69" s="53"/>
      <c r="G69" s="53"/>
      <c r="H69" s="53"/>
      <c r="I69" s="55">
        <f t="shared" si="44"/>
        <v>0</v>
      </c>
      <c r="J69" s="53"/>
      <c r="K69" s="53"/>
      <c r="L69" s="53"/>
      <c r="M69" s="55">
        <f t="shared" si="45"/>
        <v>0</v>
      </c>
      <c r="N69" s="53"/>
      <c r="O69" s="53"/>
      <c r="P69" s="53"/>
      <c r="Q69" s="55">
        <f t="shared" si="46"/>
        <v>0</v>
      </c>
      <c r="R69" s="53"/>
      <c r="S69" s="53"/>
      <c r="T69" s="53"/>
      <c r="U69" s="55">
        <f t="shared" si="47"/>
        <v>0</v>
      </c>
      <c r="V69" s="93"/>
      <c r="W69" s="93"/>
      <c r="X69" s="93"/>
      <c r="Y69" s="93"/>
      <c r="Z69" s="93"/>
      <c r="AA69" s="93"/>
    </row>
    <row r="70" spans="1:27" ht="12.75" customHeight="1" x14ac:dyDescent="0.15">
      <c r="A70" s="51" t="s">
        <v>133</v>
      </c>
      <c r="D70" s="93">
        <f>SUM(D67:D69,D64)</f>
        <v>0</v>
      </c>
      <c r="E70" s="54"/>
      <c r="F70" s="93">
        <f>SUM(F67:F69,F64)</f>
        <v>0</v>
      </c>
      <c r="G70" s="93">
        <f>SUM(G67:G69,G64)</f>
        <v>0</v>
      </c>
      <c r="H70" s="93">
        <f>SUM(H67:H69,H64)</f>
        <v>0</v>
      </c>
      <c r="I70" s="55">
        <f>SUM(F70:H70)</f>
        <v>0</v>
      </c>
      <c r="J70" s="93">
        <f t="shared" ref="J70:L70" si="48">SUM(J67:J69,J64)</f>
        <v>0</v>
      </c>
      <c r="K70" s="93">
        <f t="shared" si="48"/>
        <v>0</v>
      </c>
      <c r="L70" s="93">
        <f t="shared" si="48"/>
        <v>0</v>
      </c>
      <c r="M70" s="55">
        <f t="shared" si="45"/>
        <v>0</v>
      </c>
      <c r="N70" s="93">
        <f t="shared" ref="N70" si="49">SUM(N67:N69,N64)</f>
        <v>0</v>
      </c>
      <c r="O70" s="93">
        <f t="shared" ref="O70" si="50">SUM(O67:O69,O64)</f>
        <v>0</v>
      </c>
      <c r="P70" s="93">
        <f t="shared" ref="P70" si="51">SUM(P67:P69,P64)</f>
        <v>0</v>
      </c>
      <c r="Q70" s="55">
        <f t="shared" si="46"/>
        <v>0</v>
      </c>
      <c r="R70" s="93">
        <f t="shared" ref="R70" si="52">SUM(R67:R69,R64)</f>
        <v>0</v>
      </c>
      <c r="S70" s="93">
        <f t="shared" ref="S70" si="53">SUM(S67:S69,S64)</f>
        <v>0</v>
      </c>
      <c r="T70" s="93">
        <f t="shared" ref="T70" si="54">SUM(T67:T69,T64)</f>
        <v>0</v>
      </c>
      <c r="U70" s="55">
        <f t="shared" si="47"/>
        <v>0</v>
      </c>
      <c r="V70" s="93"/>
      <c r="W70" s="93"/>
      <c r="X70" s="93"/>
      <c r="Y70" s="93"/>
      <c r="Z70" s="93"/>
      <c r="AA70" s="93"/>
    </row>
    <row r="71" spans="1:27" ht="12.75" customHeight="1" x14ac:dyDescent="0.15">
      <c r="D71" s="93"/>
      <c r="E71" s="54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spans="1:27" ht="12.75" customHeight="1" x14ac:dyDescent="0.15">
      <c r="D72" s="93"/>
      <c r="E72" s="54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</row>
    <row r="73" spans="1:27" ht="12.75" customHeight="1" x14ac:dyDescent="0.15">
      <c r="D73" s="93"/>
      <c r="E73" s="54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</row>
    <row r="74" spans="1:27" ht="12.75" customHeight="1" x14ac:dyDescent="0.15">
      <c r="D74" s="93"/>
      <c r="E74" s="5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</row>
    <row r="75" spans="1:27" ht="12.75" customHeight="1" x14ac:dyDescent="0.15">
      <c r="D75" s="93"/>
      <c r="E75" s="54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</row>
    <row r="76" spans="1:27" ht="12.75" customHeight="1" x14ac:dyDescent="0.15">
      <c r="D76" s="93"/>
      <c r="E76" s="54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</row>
    <row r="77" spans="1:27" ht="12.75" customHeight="1" x14ac:dyDescent="0.15">
      <c r="D77" s="93"/>
      <c r="E77" s="54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</row>
    <row r="78" spans="1:27" ht="12.75" customHeight="1" x14ac:dyDescent="0.15">
      <c r="D78" s="93"/>
      <c r="E78" s="54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</row>
    <row r="79" spans="1:27" ht="12.75" customHeight="1" x14ac:dyDescent="0.15">
      <c r="D79" s="93"/>
      <c r="E79" s="54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</row>
    <row r="80" spans="1:27" ht="12.75" customHeight="1" x14ac:dyDescent="0.15">
      <c r="D80" s="93"/>
      <c r="E80" s="54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</row>
    <row r="81" spans="4:27" ht="12.75" customHeight="1" x14ac:dyDescent="0.15">
      <c r="D81" s="93"/>
      <c r="E81" s="54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spans="4:27" ht="12.75" customHeight="1" x14ac:dyDescent="0.15">
      <c r="D82" s="93"/>
      <c r="E82" s="54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spans="4:27" ht="12.75" customHeight="1" x14ac:dyDescent="0.15">
      <c r="D83" s="93"/>
      <c r="E83" s="54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spans="4:27" ht="12.75" customHeight="1" x14ac:dyDescent="0.15">
      <c r="D84" s="93"/>
      <c r="E84" s="54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4:27" ht="12.75" customHeight="1" x14ac:dyDescent="0.15">
      <c r="D85" s="93"/>
      <c r="E85" s="54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4:27" ht="12.75" customHeight="1" x14ac:dyDescent="0.15">
      <c r="D86" s="93"/>
      <c r="E86" s="54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4:27" ht="12.75" customHeight="1" x14ac:dyDescent="0.15">
      <c r="D87" s="93"/>
      <c r="E87" s="54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</row>
    <row r="88" spans="4:27" ht="12.75" customHeight="1" x14ac:dyDescent="0.15">
      <c r="D88" s="93"/>
      <c r="E88" s="54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</row>
    <row r="89" spans="4:27" ht="12.75" customHeight="1" x14ac:dyDescent="0.15">
      <c r="D89" s="93"/>
      <c r="E89" s="54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</row>
    <row r="90" spans="4:27" ht="12.75" customHeight="1" x14ac:dyDescent="0.15">
      <c r="D90" s="93"/>
      <c r="E90" s="54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</row>
    <row r="91" spans="4:27" ht="12.75" customHeight="1" x14ac:dyDescent="0.15">
      <c r="D91" s="93"/>
      <c r="E91" s="54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</row>
    <row r="92" spans="4:27" ht="12.75" customHeight="1" x14ac:dyDescent="0.15">
      <c r="D92" s="93"/>
      <c r="E92" s="54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</row>
    <row r="93" spans="4:27" ht="12.75" customHeight="1" x14ac:dyDescent="0.15">
      <c r="D93" s="93"/>
      <c r="E93" s="54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</row>
    <row r="94" spans="4:27" ht="12.75" customHeight="1" x14ac:dyDescent="0.15">
      <c r="D94" s="93"/>
      <c r="E94" s="54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</row>
    <row r="95" spans="4:27" ht="12.75" customHeight="1" x14ac:dyDescent="0.15">
      <c r="D95" s="93"/>
      <c r="E95" s="54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</row>
    <row r="96" spans="4:27" ht="12.75" customHeight="1" x14ac:dyDescent="0.15">
      <c r="D96" s="93"/>
      <c r="E96" s="54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</row>
    <row r="97" spans="4:27" ht="12.75" customHeight="1" x14ac:dyDescent="0.15">
      <c r="D97" s="93"/>
      <c r="E97" s="54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spans="4:27" ht="12.75" customHeight="1" x14ac:dyDescent="0.15">
      <c r="D98" s="93"/>
      <c r="E98" s="54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spans="4:27" ht="12.75" customHeight="1" x14ac:dyDescent="0.15">
      <c r="D99" s="93"/>
      <c r="E99" s="54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</row>
    <row r="100" spans="4:27" ht="12.75" customHeight="1" x14ac:dyDescent="0.15">
      <c r="D100" s="93"/>
      <c r="E100" s="54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</row>
    <row r="101" spans="4:27" ht="12.75" customHeight="1" x14ac:dyDescent="0.15">
      <c r="D101" s="93"/>
      <c r="E101" s="54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</row>
    <row r="102" spans="4:27" ht="12.75" customHeight="1" x14ac:dyDescent="0.15">
      <c r="D102" s="93"/>
      <c r="E102" s="54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</row>
  </sheetData>
  <phoneticPr fontId="66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  <ignoredErrors>
    <ignoredError sqref="I16:Q68 I70:Q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54"/>
  <sheetViews>
    <sheetView showGridLines="0" zoomScaleNormal="100" zoomScaleSheetLayoutView="100" workbookViewId="0">
      <selection activeCell="M47" sqref="M47"/>
    </sheetView>
  </sheetViews>
  <sheetFormatPr baseColWidth="10" defaultColWidth="9.1640625" defaultRowHeight="13" x14ac:dyDescent="0.15"/>
  <cols>
    <col min="1" max="1" width="2" style="58" customWidth="1"/>
    <col min="2" max="2" width="9.1640625" style="58"/>
    <col min="3" max="3" width="20.1640625" style="58" customWidth="1"/>
    <col min="4" max="4" width="12.33203125" style="58" customWidth="1"/>
    <col min="5" max="5" width="11.33203125" style="58" customWidth="1"/>
    <col min="6" max="6" width="9.1640625" style="58"/>
    <col min="7" max="7" width="19.6640625" style="58" customWidth="1"/>
    <col min="8" max="8" width="20" style="58" customWidth="1"/>
    <col min="9" max="9" width="25.1640625" style="58" customWidth="1"/>
    <col min="10" max="10" width="27" style="58" customWidth="1"/>
    <col min="11" max="16384" width="9.1640625" style="58"/>
  </cols>
  <sheetData>
    <row r="1" spans="1:13" x14ac:dyDescent="0.15">
      <c r="A1" s="57" t="str">
        <f>'Cover Sheet'!A2</f>
        <v>Center City Public Charter Schools</v>
      </c>
    </row>
    <row r="2" spans="1:13" x14ac:dyDescent="0.15">
      <c r="A2" s="38" t="str">
        <f>'Cover Sheet'!A8&amp;" "&amp;'Cover Sheet'!$A$9&amp;" Balance Sheet"</f>
        <v>FY2020 Enter Period Balance Sheet</v>
      </c>
    </row>
    <row r="3" spans="1:13" x14ac:dyDescent="0.15">
      <c r="B3" s="114"/>
      <c r="C3" s="114"/>
      <c r="D3" s="114"/>
      <c r="E3" s="114"/>
      <c r="F3" s="114"/>
      <c r="G3" s="114"/>
      <c r="H3" s="64"/>
      <c r="I3" s="64"/>
      <c r="J3" s="64"/>
    </row>
    <row r="4" spans="1:13" x14ac:dyDescent="0.15">
      <c r="B4" s="64"/>
      <c r="C4" s="64"/>
      <c r="D4" s="64"/>
      <c r="E4" s="65" t="s">
        <v>113</v>
      </c>
      <c r="F4" s="66"/>
      <c r="G4" s="65" t="s">
        <v>82</v>
      </c>
      <c r="H4" s="65" t="s">
        <v>83</v>
      </c>
      <c r="I4" s="65" t="s">
        <v>84</v>
      </c>
      <c r="J4" s="65" t="s">
        <v>85</v>
      </c>
    </row>
    <row r="5" spans="1:13" ht="17" thickBot="1" x14ac:dyDescent="0.2">
      <c r="B5" s="64"/>
      <c r="C5" s="64"/>
      <c r="D5" s="64"/>
      <c r="E5" s="67" t="s">
        <v>149</v>
      </c>
      <c r="F5" s="68"/>
      <c r="G5" s="67" t="s">
        <v>86</v>
      </c>
      <c r="H5" s="67" t="s">
        <v>87</v>
      </c>
      <c r="I5" s="67" t="s">
        <v>88</v>
      </c>
      <c r="J5" s="67" t="s">
        <v>89</v>
      </c>
      <c r="M5" s="86" t="s">
        <v>173</v>
      </c>
    </row>
    <row r="6" spans="1:13" x14ac:dyDescent="0.15">
      <c r="A6" s="77" t="s">
        <v>90</v>
      </c>
      <c r="B6" s="69"/>
      <c r="C6" s="69"/>
      <c r="E6" s="70"/>
      <c r="F6" s="68"/>
      <c r="G6" s="70"/>
      <c r="H6" s="70"/>
      <c r="I6" s="70"/>
      <c r="J6" s="70"/>
    </row>
    <row r="7" spans="1:13" x14ac:dyDescent="0.15">
      <c r="B7" s="64"/>
      <c r="C7" s="64"/>
      <c r="D7" s="64"/>
      <c r="E7" s="64"/>
      <c r="F7" s="64"/>
      <c r="G7" s="64"/>
      <c r="H7" s="64"/>
      <c r="I7" s="64"/>
      <c r="J7" s="64"/>
    </row>
    <row r="8" spans="1:13" x14ac:dyDescent="0.15">
      <c r="B8" s="75" t="s">
        <v>123</v>
      </c>
      <c r="C8" s="71"/>
      <c r="D8" s="69"/>
      <c r="E8" s="72"/>
      <c r="F8" s="72"/>
      <c r="G8" s="73"/>
      <c r="H8" s="73"/>
      <c r="I8" s="73"/>
      <c r="J8" s="73"/>
    </row>
    <row r="9" spans="1:13" x14ac:dyDescent="0.15">
      <c r="B9" s="78" t="s">
        <v>91</v>
      </c>
      <c r="D9" s="74"/>
      <c r="E9" s="53">
        <v>0</v>
      </c>
      <c r="F9" s="103"/>
      <c r="G9" s="53">
        <v>0</v>
      </c>
      <c r="H9" s="53">
        <v>0</v>
      </c>
      <c r="I9" s="53">
        <v>0</v>
      </c>
      <c r="J9" s="53">
        <v>0</v>
      </c>
      <c r="M9" s="57" t="s">
        <v>183</v>
      </c>
    </row>
    <row r="10" spans="1:13" x14ac:dyDescent="0.15">
      <c r="B10" s="78" t="s">
        <v>92</v>
      </c>
      <c r="D10" s="74"/>
      <c r="E10" s="53">
        <v>0</v>
      </c>
      <c r="F10" s="104"/>
      <c r="G10" s="53">
        <v>0</v>
      </c>
      <c r="H10" s="53">
        <v>0</v>
      </c>
      <c r="I10" s="53">
        <v>0</v>
      </c>
      <c r="J10" s="53">
        <v>0</v>
      </c>
    </row>
    <row r="11" spans="1:13" x14ac:dyDescent="0.15">
      <c r="B11" s="78" t="s">
        <v>110</v>
      </c>
      <c r="D11" s="74"/>
      <c r="E11" s="53">
        <v>0</v>
      </c>
      <c r="F11" s="104"/>
      <c r="G11" s="53">
        <v>0</v>
      </c>
      <c r="H11" s="53">
        <v>0</v>
      </c>
      <c r="I11" s="53">
        <v>0</v>
      </c>
      <c r="J11" s="53">
        <v>0</v>
      </c>
    </row>
    <row r="12" spans="1:13" x14ac:dyDescent="0.15">
      <c r="B12" s="78" t="s">
        <v>109</v>
      </c>
      <c r="D12" s="74"/>
      <c r="E12" s="53">
        <v>0</v>
      </c>
      <c r="F12" s="103"/>
      <c r="G12" s="53">
        <v>0</v>
      </c>
      <c r="H12" s="53">
        <v>0</v>
      </c>
      <c r="I12" s="53">
        <v>0</v>
      </c>
      <c r="J12" s="53">
        <v>0</v>
      </c>
    </row>
    <row r="13" spans="1:13" x14ac:dyDescent="0.15">
      <c r="B13" s="75" t="s">
        <v>93</v>
      </c>
      <c r="E13" s="103">
        <f>SUM(E9:E12)</f>
        <v>0</v>
      </c>
      <c r="F13" s="103"/>
      <c r="G13" s="103">
        <f>SUM(G9:G12)</f>
        <v>0</v>
      </c>
      <c r="H13" s="103">
        <f>SUM(H9:H12)</f>
        <v>0</v>
      </c>
      <c r="I13" s="103">
        <f>SUM(I9:I12)</f>
        <v>0</v>
      </c>
      <c r="J13" s="103">
        <f>SUM(J9:J12)</f>
        <v>0</v>
      </c>
    </row>
    <row r="14" spans="1:13" x14ac:dyDescent="0.15">
      <c r="B14" s="64"/>
      <c r="C14" s="64"/>
      <c r="D14" s="64"/>
      <c r="E14" s="104"/>
      <c r="F14" s="104"/>
      <c r="G14" s="104"/>
      <c r="H14" s="104"/>
      <c r="I14" s="104"/>
      <c r="J14" s="104"/>
    </row>
    <row r="15" spans="1:13" x14ac:dyDescent="0.15">
      <c r="B15" s="77" t="s">
        <v>94</v>
      </c>
      <c r="C15" s="74"/>
      <c r="D15" s="74"/>
      <c r="E15" s="53">
        <v>0</v>
      </c>
      <c r="F15" s="103"/>
      <c r="G15" s="53">
        <v>0</v>
      </c>
      <c r="H15" s="53">
        <v>0</v>
      </c>
      <c r="I15" s="53">
        <v>0</v>
      </c>
      <c r="J15" s="53">
        <v>0</v>
      </c>
    </row>
    <row r="16" spans="1:13" x14ac:dyDescent="0.15">
      <c r="B16" s="64"/>
      <c r="C16" s="64"/>
      <c r="D16" s="64"/>
      <c r="E16" s="104"/>
      <c r="F16" s="104"/>
      <c r="G16" s="104"/>
      <c r="H16" s="104"/>
      <c r="I16" s="104"/>
      <c r="J16" s="104"/>
    </row>
    <row r="17" spans="1:13" x14ac:dyDescent="0.15">
      <c r="B17" s="77" t="s">
        <v>95</v>
      </c>
      <c r="C17" s="74"/>
      <c r="D17" s="74"/>
      <c r="E17" s="53">
        <v>0</v>
      </c>
      <c r="F17" s="103"/>
      <c r="G17" s="53">
        <v>0</v>
      </c>
      <c r="H17" s="53">
        <v>0</v>
      </c>
      <c r="I17" s="53">
        <v>0</v>
      </c>
      <c r="J17" s="53">
        <v>0</v>
      </c>
      <c r="M17" s="57" t="s">
        <v>174</v>
      </c>
    </row>
    <row r="18" spans="1:13" x14ac:dyDescent="0.15">
      <c r="B18" s="64"/>
      <c r="C18" s="64"/>
      <c r="D18" s="64"/>
      <c r="E18" s="104"/>
      <c r="F18" s="104"/>
      <c r="G18" s="104"/>
      <c r="H18" s="104"/>
      <c r="I18" s="104"/>
      <c r="J18" s="104"/>
    </row>
    <row r="19" spans="1:13" ht="14" thickBot="1" x14ac:dyDescent="0.2">
      <c r="A19" s="75" t="s">
        <v>96</v>
      </c>
      <c r="B19" s="64"/>
      <c r="C19" s="74"/>
      <c r="E19" s="105">
        <f>E13+E15+E17</f>
        <v>0</v>
      </c>
      <c r="F19" s="104"/>
      <c r="G19" s="105">
        <f>G13+G15+G17</f>
        <v>0</v>
      </c>
      <c r="H19" s="105">
        <f>H13+H15+H17</f>
        <v>0</v>
      </c>
      <c r="I19" s="105">
        <f>I13+I15+I17</f>
        <v>0</v>
      </c>
      <c r="J19" s="105">
        <f>J13+J15+J17</f>
        <v>0</v>
      </c>
    </row>
    <row r="20" spans="1:13" ht="14" thickTop="1" x14ac:dyDescent="0.15">
      <c r="B20" s="64"/>
      <c r="C20" s="64"/>
      <c r="D20" s="64"/>
      <c r="E20" s="104"/>
      <c r="F20" s="104"/>
      <c r="G20" s="104"/>
      <c r="H20" s="104"/>
      <c r="I20" s="104"/>
      <c r="J20" s="104"/>
    </row>
    <row r="21" spans="1:13" ht="15" customHeight="1" x14ac:dyDescent="0.15">
      <c r="A21" s="77" t="s">
        <v>97</v>
      </c>
      <c r="B21" s="69"/>
      <c r="C21" s="69"/>
      <c r="E21" s="106"/>
      <c r="F21" s="106"/>
      <c r="G21" s="106"/>
      <c r="H21" s="106"/>
      <c r="I21" s="106"/>
      <c r="J21" s="106"/>
    </row>
    <row r="22" spans="1:13" x14ac:dyDescent="0.15">
      <c r="B22" s="64"/>
      <c r="C22" s="64"/>
      <c r="D22" s="64"/>
      <c r="E22" s="104"/>
      <c r="F22" s="104"/>
      <c r="G22" s="104"/>
      <c r="H22" s="104"/>
      <c r="I22" s="104"/>
      <c r="J22" s="104"/>
    </row>
    <row r="23" spans="1:13" x14ac:dyDescent="0.15">
      <c r="B23" s="75" t="s">
        <v>124</v>
      </c>
      <c r="C23" s="76"/>
      <c r="D23" s="76"/>
      <c r="E23" s="103"/>
      <c r="F23" s="103"/>
      <c r="G23" s="103"/>
      <c r="H23" s="103"/>
      <c r="I23" s="103"/>
      <c r="J23" s="103"/>
    </row>
    <row r="24" spans="1:13" x14ac:dyDescent="0.15">
      <c r="B24" s="78" t="s">
        <v>99</v>
      </c>
      <c r="D24" s="74"/>
      <c r="E24" s="53">
        <v>0</v>
      </c>
      <c r="F24" s="103"/>
      <c r="G24" s="53">
        <v>0</v>
      </c>
      <c r="H24" s="53">
        <v>0</v>
      </c>
      <c r="I24" s="53">
        <v>0</v>
      </c>
      <c r="J24" s="53">
        <v>0</v>
      </c>
    </row>
    <row r="25" spans="1:13" x14ac:dyDescent="0.15">
      <c r="B25" s="78" t="s">
        <v>98</v>
      </c>
      <c r="D25" s="74"/>
      <c r="E25" s="53">
        <v>0</v>
      </c>
      <c r="F25" s="103"/>
      <c r="G25" s="53">
        <v>0</v>
      </c>
      <c r="H25" s="53">
        <v>0</v>
      </c>
      <c r="I25" s="53">
        <v>0</v>
      </c>
      <c r="J25" s="53">
        <v>0</v>
      </c>
    </row>
    <row r="26" spans="1:13" x14ac:dyDescent="0.15">
      <c r="B26" s="78" t="s">
        <v>106</v>
      </c>
      <c r="D26" s="74"/>
      <c r="E26" s="53">
        <v>0</v>
      </c>
      <c r="F26" s="103"/>
      <c r="G26" s="53">
        <v>0</v>
      </c>
      <c r="H26" s="53">
        <v>0</v>
      </c>
      <c r="I26" s="53">
        <v>0</v>
      </c>
      <c r="J26" s="53">
        <v>0</v>
      </c>
    </row>
    <row r="27" spans="1:13" x14ac:dyDescent="0.15">
      <c r="B27" s="78" t="s">
        <v>178</v>
      </c>
      <c r="D27" s="74"/>
      <c r="E27" s="53">
        <v>0</v>
      </c>
      <c r="F27" s="103"/>
      <c r="G27" s="53">
        <v>0</v>
      </c>
      <c r="H27" s="53">
        <v>0</v>
      </c>
      <c r="I27" s="53">
        <v>0</v>
      </c>
      <c r="J27" s="53">
        <v>0</v>
      </c>
    </row>
    <row r="28" spans="1:13" x14ac:dyDescent="0.15">
      <c r="B28" s="78" t="s">
        <v>108</v>
      </c>
      <c r="D28" s="74"/>
      <c r="E28" s="53">
        <v>0</v>
      </c>
      <c r="F28" s="103"/>
      <c r="G28" s="53">
        <v>0</v>
      </c>
      <c r="H28" s="53">
        <v>0</v>
      </c>
      <c r="I28" s="53">
        <v>0</v>
      </c>
      <c r="J28" s="53">
        <v>0</v>
      </c>
    </row>
    <row r="29" spans="1:13" x14ac:dyDescent="0.15">
      <c r="B29" s="75" t="s">
        <v>100</v>
      </c>
      <c r="E29" s="103">
        <f>SUM(E24:E28)</f>
        <v>0</v>
      </c>
      <c r="F29" s="103"/>
      <c r="G29" s="103">
        <f t="shared" ref="G29:J29" si="0">SUM(G24:G28)</f>
        <v>0</v>
      </c>
      <c r="H29" s="103">
        <f t="shared" si="0"/>
        <v>0</v>
      </c>
      <c r="I29" s="103">
        <f t="shared" si="0"/>
        <v>0</v>
      </c>
      <c r="J29" s="103">
        <f t="shared" si="0"/>
        <v>0</v>
      </c>
    </row>
    <row r="30" spans="1:13" x14ac:dyDescent="0.15">
      <c r="B30" s="75"/>
      <c r="E30" s="103"/>
      <c r="F30" s="103"/>
      <c r="G30" s="103"/>
      <c r="H30" s="103"/>
      <c r="I30" s="103"/>
      <c r="J30" s="103"/>
    </row>
    <row r="31" spans="1:13" x14ac:dyDescent="0.15">
      <c r="B31" s="77" t="s">
        <v>125</v>
      </c>
      <c r="C31" s="64"/>
      <c r="D31" s="64"/>
      <c r="E31" s="104"/>
      <c r="F31" s="104"/>
      <c r="G31" s="104"/>
      <c r="H31" s="104"/>
      <c r="I31" s="104"/>
      <c r="J31" s="104"/>
    </row>
    <row r="32" spans="1:13" x14ac:dyDescent="0.15">
      <c r="B32" s="78" t="s">
        <v>126</v>
      </c>
      <c r="D32" s="64"/>
      <c r="E32" s="53">
        <v>0</v>
      </c>
      <c r="F32" s="103"/>
      <c r="G32" s="53">
        <v>0</v>
      </c>
      <c r="H32" s="53">
        <v>0</v>
      </c>
      <c r="I32" s="53">
        <v>0</v>
      </c>
      <c r="J32" s="53">
        <v>0</v>
      </c>
    </row>
    <row r="33" spans="1:13" x14ac:dyDescent="0.15">
      <c r="B33" s="78" t="s">
        <v>127</v>
      </c>
      <c r="D33" s="64"/>
      <c r="E33" s="53">
        <v>0</v>
      </c>
      <c r="F33" s="103"/>
      <c r="G33" s="53">
        <v>0</v>
      </c>
      <c r="H33" s="53">
        <v>0</v>
      </c>
      <c r="I33" s="53">
        <v>0</v>
      </c>
      <c r="J33" s="53">
        <v>0</v>
      </c>
      <c r="M33" s="57" t="s">
        <v>175</v>
      </c>
    </row>
    <row r="34" spans="1:13" x14ac:dyDescent="0.15">
      <c r="B34" s="75" t="s">
        <v>107</v>
      </c>
      <c r="D34" s="74"/>
      <c r="E34" s="103">
        <f>SUM(E32:E33)</f>
        <v>0</v>
      </c>
      <c r="F34" s="103"/>
      <c r="G34" s="103">
        <f t="shared" ref="G34:J34" si="1">SUM(G32:G33)</f>
        <v>0</v>
      </c>
      <c r="H34" s="103">
        <f t="shared" si="1"/>
        <v>0</v>
      </c>
      <c r="I34" s="103">
        <f t="shared" si="1"/>
        <v>0</v>
      </c>
      <c r="J34" s="103">
        <f t="shared" si="1"/>
        <v>0</v>
      </c>
    </row>
    <row r="35" spans="1:13" x14ac:dyDescent="0.15">
      <c r="B35" s="64"/>
      <c r="C35" s="64"/>
      <c r="D35" s="64"/>
      <c r="E35" s="104"/>
      <c r="F35" s="104"/>
      <c r="G35" s="104"/>
      <c r="H35" s="104"/>
      <c r="I35" s="104"/>
      <c r="J35" s="104"/>
    </row>
    <row r="36" spans="1:13" ht="16" x14ac:dyDescent="0.3">
      <c r="B36" s="75" t="s">
        <v>101</v>
      </c>
      <c r="C36" s="64"/>
      <c r="E36" s="107">
        <f>E29+E34</f>
        <v>0</v>
      </c>
      <c r="F36" s="106"/>
      <c r="G36" s="107">
        <f>G29+G34</f>
        <v>0</v>
      </c>
      <c r="H36" s="107">
        <f>H29+H34</f>
        <v>0</v>
      </c>
      <c r="I36" s="107">
        <f>I29+I34</f>
        <v>0</v>
      </c>
      <c r="J36" s="107">
        <f>J29+J34</f>
        <v>0</v>
      </c>
    </row>
    <row r="37" spans="1:13" x14ac:dyDescent="0.15">
      <c r="B37" s="64"/>
      <c r="C37" s="64"/>
      <c r="D37" s="64"/>
      <c r="E37" s="104"/>
      <c r="F37" s="104"/>
      <c r="G37" s="104"/>
      <c r="H37" s="104"/>
      <c r="I37" s="104"/>
      <c r="J37" s="104"/>
    </row>
    <row r="38" spans="1:13" x14ac:dyDescent="0.15">
      <c r="B38" s="79" t="s">
        <v>128</v>
      </c>
      <c r="C38" s="76"/>
      <c r="D38" s="76"/>
      <c r="E38" s="103"/>
      <c r="F38" s="103"/>
      <c r="G38" s="106"/>
      <c r="H38" s="106"/>
      <c r="I38" s="106"/>
      <c r="J38" s="106"/>
    </row>
    <row r="39" spans="1:13" x14ac:dyDescent="0.15">
      <c r="B39" s="78" t="s">
        <v>102</v>
      </c>
      <c r="D39" s="76"/>
      <c r="E39" s="53">
        <v>0</v>
      </c>
      <c r="F39" s="103"/>
      <c r="G39" s="53">
        <v>0</v>
      </c>
      <c r="H39" s="53">
        <v>0</v>
      </c>
      <c r="I39" s="53">
        <v>0</v>
      </c>
      <c r="J39" s="53">
        <v>0</v>
      </c>
    </row>
    <row r="40" spans="1:13" x14ac:dyDescent="0.15">
      <c r="B40" s="78" t="s">
        <v>103</v>
      </c>
      <c r="D40" s="76"/>
      <c r="E40" s="53">
        <v>0</v>
      </c>
      <c r="F40" s="103"/>
      <c r="G40" s="53">
        <v>0</v>
      </c>
      <c r="H40" s="53">
        <v>0</v>
      </c>
      <c r="I40" s="53">
        <v>0</v>
      </c>
      <c r="J40" s="53">
        <v>0</v>
      </c>
    </row>
    <row r="41" spans="1:13" x14ac:dyDescent="0.15">
      <c r="B41" s="78" t="s">
        <v>134</v>
      </c>
      <c r="D41" s="76"/>
      <c r="E41" s="80">
        <v>0</v>
      </c>
      <c r="F41" s="103"/>
      <c r="G41" s="80">
        <v>0</v>
      </c>
      <c r="H41" s="80">
        <v>0</v>
      </c>
      <c r="I41" s="80">
        <v>0</v>
      </c>
      <c r="J41" s="80">
        <v>0</v>
      </c>
    </row>
    <row r="42" spans="1:13" ht="16" x14ac:dyDescent="0.3">
      <c r="B42" s="75" t="s">
        <v>104</v>
      </c>
      <c r="C42" s="74"/>
      <c r="E42" s="108">
        <f>SUM(E39:E41)</f>
        <v>0</v>
      </c>
      <c r="F42" s="103"/>
      <c r="G42" s="108">
        <f>SUM(G39:G41)</f>
        <v>0</v>
      </c>
      <c r="H42" s="108">
        <f>SUM(H39:H41)</f>
        <v>0</v>
      </c>
      <c r="I42" s="108">
        <f>SUM(I39:I41)</f>
        <v>0</v>
      </c>
      <c r="J42" s="108">
        <f>SUM(J39:J41)</f>
        <v>0</v>
      </c>
    </row>
    <row r="43" spans="1:13" x14ac:dyDescent="0.15">
      <c r="B43" s="64"/>
      <c r="C43" s="64"/>
      <c r="D43" s="64"/>
      <c r="E43" s="104"/>
      <c r="F43" s="104"/>
      <c r="G43" s="104"/>
      <c r="H43" s="104"/>
      <c r="I43" s="104"/>
      <c r="J43" s="104"/>
    </row>
    <row r="44" spans="1:13" ht="14" thickBot="1" x14ac:dyDescent="0.2">
      <c r="A44" s="75" t="s">
        <v>105</v>
      </c>
      <c r="B44" s="64"/>
      <c r="C44" s="74"/>
      <c r="E44" s="109">
        <f>E36+E42</f>
        <v>0</v>
      </c>
      <c r="F44" s="103"/>
      <c r="G44" s="109">
        <f>G36+G42</f>
        <v>0</v>
      </c>
      <c r="H44" s="109">
        <f>H36+H42</f>
        <v>0</v>
      </c>
      <c r="I44" s="109">
        <f>I36+I42</f>
        <v>0</v>
      </c>
      <c r="J44" s="109">
        <f>J36+J42</f>
        <v>0</v>
      </c>
    </row>
    <row r="45" spans="1:13" ht="14" thickTop="1" x14ac:dyDescent="0.15">
      <c r="B45" s="64"/>
      <c r="C45" s="74"/>
      <c r="D45" s="76"/>
      <c r="E45" s="103"/>
      <c r="F45" s="103"/>
      <c r="G45" s="106"/>
      <c r="H45" s="106"/>
      <c r="I45" s="106"/>
      <c r="J45" s="106"/>
    </row>
    <row r="46" spans="1:13" x14ac:dyDescent="0.15">
      <c r="E46" s="110"/>
      <c r="F46" s="110"/>
      <c r="G46" s="110"/>
      <c r="H46" s="110"/>
      <c r="I46" s="110"/>
      <c r="J46" s="110"/>
    </row>
    <row r="47" spans="1:13" x14ac:dyDescent="0.15">
      <c r="E47" s="110"/>
      <c r="F47" s="110"/>
      <c r="G47" s="110"/>
      <c r="H47" s="110"/>
      <c r="I47" s="110"/>
      <c r="J47" s="110"/>
    </row>
    <row r="48" spans="1:13" x14ac:dyDescent="0.15">
      <c r="E48" s="110"/>
      <c r="F48" s="110"/>
      <c r="G48" s="110"/>
      <c r="H48" s="110"/>
      <c r="I48" s="110"/>
      <c r="J48" s="110"/>
    </row>
    <row r="49" spans="5:10" x14ac:dyDescent="0.15">
      <c r="E49" s="110"/>
      <c r="F49" s="110"/>
      <c r="G49" s="110"/>
      <c r="H49" s="110"/>
      <c r="I49" s="110"/>
      <c r="J49" s="110"/>
    </row>
    <row r="50" spans="5:10" x14ac:dyDescent="0.15">
      <c r="E50" s="110"/>
      <c r="F50" s="110"/>
      <c r="G50" s="110"/>
      <c r="H50" s="110"/>
      <c r="I50" s="110"/>
      <c r="J50" s="110"/>
    </row>
    <row r="51" spans="5:10" x14ac:dyDescent="0.15">
      <c r="E51" s="110"/>
      <c r="F51" s="110"/>
      <c r="G51" s="110"/>
      <c r="H51" s="110"/>
      <c r="I51" s="110"/>
      <c r="J51" s="110"/>
    </row>
    <row r="52" spans="5:10" x14ac:dyDescent="0.15">
      <c r="E52" s="110"/>
      <c r="F52" s="110"/>
      <c r="G52" s="110"/>
      <c r="H52" s="110"/>
      <c r="I52" s="110"/>
      <c r="J52" s="110"/>
    </row>
    <row r="53" spans="5:10" x14ac:dyDescent="0.15">
      <c r="E53" s="110"/>
      <c r="F53" s="110"/>
      <c r="G53" s="110"/>
      <c r="H53" s="110"/>
      <c r="I53" s="110"/>
      <c r="J53" s="110"/>
    </row>
    <row r="54" spans="5:10" x14ac:dyDescent="0.15">
      <c r="E54" s="110"/>
      <c r="F54" s="110"/>
      <c r="G54" s="110"/>
      <c r="H54" s="110"/>
      <c r="I54" s="110"/>
      <c r="J54" s="110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2016-11-10T20:34:43Z</cp:lastPrinted>
  <dcterms:created xsi:type="dcterms:W3CDTF">2015-03-09T19:17:40Z</dcterms:created>
  <dcterms:modified xsi:type="dcterms:W3CDTF">2019-05-28T17:50:13Z</dcterms:modified>
</cp:coreProperties>
</file>