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mesloi/Downloads/"/>
    </mc:Choice>
  </mc:AlternateContent>
  <xr:revisionPtr revIDLastSave="0" documentId="10_ncr:8100000_{061E1AA3-AF54-5440-9AD9-0059D43CC99A}" xr6:coauthVersionLast="33" xr6:coauthVersionMax="33" xr10:uidLastSave="{00000000-0000-0000-0000-000000000000}"/>
  <bookViews>
    <workbookView xWindow="0" yWindow="460" windowWidth="31280" windowHeight="19580" activeTab="2" xr2:uid="{00000000-000D-0000-FFFF-FFFF00000000}"/>
  </bookViews>
  <sheets>
    <sheet name="Cover Sheet" sheetId="6" r:id="rId1"/>
    <sheet name="Enrollment" sheetId="4" r:id="rId2"/>
    <sheet name="Annual Budget" sheetId="5" r:id="rId3"/>
    <sheet name="Statement of Activites" sheetId="1" r:id="rId4"/>
    <sheet name="Statement of Financial Position" sheetId="2" r:id="rId5"/>
    <sheet name="References" sheetId="7" state="hidden" r:id="rId6"/>
  </sheets>
  <externalReferences>
    <externalReference r:id="rId7"/>
    <externalReference r:id="rId8"/>
    <externalReference r:id="rId9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Budget'!$A:$Y</definedName>
    <definedName name="_xlnm.Print_Area" localSheetId="0">'Cover Sheet'!$A$1:$A$11</definedName>
    <definedName name="_xlnm.Print_Area" localSheetId="3">'Statement of Activites'!$A$1:$Y$64</definedName>
    <definedName name="_xlnm.Print_Area" localSheetId="4">'Statement of Financial Position'!$A$1:$K$46</definedName>
    <definedName name="Scenario" localSheetId="2">[3]Inputs!#REF!</definedName>
    <definedName name="Scenario">[3]Inputs!#REF!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5" i="5" l="1"/>
  <c r="L54" i="5"/>
  <c r="H54" i="5"/>
  <c r="V7" i="5"/>
  <c r="H57" i="5" l="1"/>
  <c r="H53" i="5"/>
  <c r="H39" i="5"/>
  <c r="V26" i="5"/>
  <c r="J26" i="5"/>
  <c r="I26" i="5"/>
  <c r="H26" i="5"/>
  <c r="U23" i="5"/>
  <c r="T23" i="5"/>
  <c r="R23" i="5"/>
  <c r="Q23" i="5"/>
  <c r="P23" i="5"/>
  <c r="N23" i="5"/>
  <c r="M23" i="5"/>
  <c r="L23" i="5"/>
  <c r="V23" i="5"/>
  <c r="J23" i="5"/>
  <c r="I23" i="5"/>
  <c r="H23" i="5"/>
  <c r="U26" i="5"/>
  <c r="T26" i="5"/>
  <c r="R26" i="5"/>
  <c r="Q26" i="5"/>
  <c r="P26" i="5"/>
  <c r="N26" i="5"/>
  <c r="M26" i="5"/>
  <c r="L26" i="5"/>
  <c r="N25" i="5"/>
  <c r="H25" i="5"/>
  <c r="J25" i="5"/>
  <c r="I25" i="5"/>
  <c r="R25" i="5"/>
  <c r="Q25" i="5"/>
  <c r="P25" i="5"/>
  <c r="U25" i="5"/>
  <c r="T25" i="5"/>
  <c r="M25" i="5"/>
  <c r="L25" i="5"/>
  <c r="V24" i="5"/>
  <c r="U24" i="5"/>
  <c r="T24" i="5"/>
  <c r="H24" i="5"/>
  <c r="F25" i="5"/>
  <c r="F24" i="5"/>
  <c r="F23" i="5"/>
  <c r="F22" i="5"/>
  <c r="F21" i="5"/>
  <c r="J21" i="5"/>
  <c r="I21" i="5"/>
  <c r="I22" i="5"/>
  <c r="J22" i="5"/>
  <c r="V22" i="5"/>
  <c r="U22" i="5"/>
  <c r="T22" i="5"/>
  <c r="V21" i="5"/>
  <c r="U21" i="5"/>
  <c r="T21" i="5"/>
  <c r="R22" i="5"/>
  <c r="Q22" i="5"/>
  <c r="P22" i="5"/>
  <c r="R21" i="5"/>
  <c r="Q21" i="5"/>
  <c r="P21" i="5"/>
  <c r="N22" i="5"/>
  <c r="M22" i="5"/>
  <c r="L22" i="5"/>
  <c r="N21" i="5"/>
  <c r="M21" i="5"/>
  <c r="L21" i="5"/>
  <c r="R24" i="5"/>
  <c r="Q24" i="5"/>
  <c r="P24" i="5"/>
  <c r="N24" i="5"/>
  <c r="M24" i="5"/>
  <c r="L24" i="5"/>
  <c r="J24" i="5"/>
  <c r="I24" i="5"/>
  <c r="H20" i="5"/>
  <c r="V20" i="5" s="1"/>
  <c r="M20" i="5" l="1"/>
  <c r="P20" i="5"/>
  <c r="I20" i="5"/>
  <c r="N20" i="5"/>
  <c r="Q20" i="5"/>
  <c r="T20" i="5"/>
  <c r="J20" i="5"/>
  <c r="R20" i="5"/>
  <c r="U20" i="5"/>
  <c r="L20" i="5"/>
  <c r="W54" i="5" l="1"/>
  <c r="V49" i="5"/>
  <c r="V57" i="5"/>
  <c r="V56" i="5"/>
  <c r="V55" i="5"/>
  <c r="V53" i="5"/>
  <c r="V52" i="5"/>
  <c r="U57" i="5"/>
  <c r="T57" i="5"/>
  <c r="U56" i="5"/>
  <c r="T56" i="5"/>
  <c r="W56" i="5" s="1"/>
  <c r="U55" i="5"/>
  <c r="W55" i="5" s="1"/>
  <c r="T55" i="5"/>
  <c r="U53" i="5"/>
  <c r="T53" i="5"/>
  <c r="U52" i="5"/>
  <c r="W52" i="5" s="1"/>
  <c r="T52" i="5"/>
  <c r="U51" i="5"/>
  <c r="T51" i="5"/>
  <c r="U50" i="5"/>
  <c r="U47" i="5"/>
  <c r="T47" i="5"/>
  <c r="R57" i="5"/>
  <c r="Q57" i="5"/>
  <c r="P57" i="5"/>
  <c r="R56" i="5"/>
  <c r="Q56" i="5"/>
  <c r="P56" i="5"/>
  <c r="R55" i="5"/>
  <c r="Q55" i="5"/>
  <c r="P55" i="5"/>
  <c r="R53" i="5"/>
  <c r="Q53" i="5"/>
  <c r="P53" i="5"/>
  <c r="R52" i="5"/>
  <c r="Q52" i="5"/>
  <c r="P52" i="5"/>
  <c r="R51" i="5"/>
  <c r="Q51" i="5"/>
  <c r="P51" i="5"/>
  <c r="P50" i="5"/>
  <c r="R49" i="5"/>
  <c r="R47" i="5"/>
  <c r="Q47" i="5"/>
  <c r="P47" i="5"/>
  <c r="N57" i="5"/>
  <c r="M57" i="5"/>
  <c r="L57" i="5"/>
  <c r="N56" i="5"/>
  <c r="M56" i="5"/>
  <c r="L56" i="5"/>
  <c r="N55" i="5"/>
  <c r="M55" i="5"/>
  <c r="L55" i="5"/>
  <c r="N53" i="5"/>
  <c r="M53" i="5"/>
  <c r="O53" i="5" s="1"/>
  <c r="L53" i="5"/>
  <c r="N52" i="5"/>
  <c r="M52" i="5"/>
  <c r="L52" i="5"/>
  <c r="N51" i="5"/>
  <c r="M51" i="5"/>
  <c r="M50" i="5"/>
  <c r="L50" i="5"/>
  <c r="N47" i="5"/>
  <c r="M47" i="5"/>
  <c r="J57" i="5"/>
  <c r="I57" i="5"/>
  <c r="J56" i="5"/>
  <c r="I56" i="5"/>
  <c r="J55" i="5"/>
  <c r="I55" i="5"/>
  <c r="J53" i="5"/>
  <c r="I53" i="5"/>
  <c r="J52" i="5"/>
  <c r="I52" i="5"/>
  <c r="J51" i="5"/>
  <c r="I51" i="5"/>
  <c r="J50" i="5"/>
  <c r="J47" i="5"/>
  <c r="I47" i="5"/>
  <c r="H58" i="5"/>
  <c r="V58" i="5" s="1"/>
  <c r="H51" i="5"/>
  <c r="L51" i="5" s="1"/>
  <c r="O51" i="5" s="1"/>
  <c r="H50" i="5"/>
  <c r="V50" i="5" s="1"/>
  <c r="H49" i="5"/>
  <c r="Q49" i="5" s="1"/>
  <c r="H48" i="5"/>
  <c r="T48" i="5" s="1"/>
  <c r="H47" i="5"/>
  <c r="L47" i="5" s="1"/>
  <c r="O47" i="5" s="1"/>
  <c r="T43" i="5"/>
  <c r="V42" i="5"/>
  <c r="V40" i="5"/>
  <c r="U40" i="5"/>
  <c r="T40" i="5"/>
  <c r="V39" i="5"/>
  <c r="U39" i="5"/>
  <c r="T39" i="5"/>
  <c r="U38" i="5"/>
  <c r="Q43" i="5"/>
  <c r="P43" i="5"/>
  <c r="R40" i="5"/>
  <c r="Q40" i="5"/>
  <c r="P40" i="5"/>
  <c r="R39" i="5"/>
  <c r="S39" i="5" s="1"/>
  <c r="X39" i="1" s="1"/>
  <c r="Y39" i="1" s="1"/>
  <c r="Q39" i="5"/>
  <c r="P39" i="5"/>
  <c r="Q38" i="5"/>
  <c r="P38" i="5"/>
  <c r="N43" i="5"/>
  <c r="M42" i="5"/>
  <c r="N40" i="5"/>
  <c r="M40" i="5"/>
  <c r="L40" i="5"/>
  <c r="N39" i="5"/>
  <c r="M39" i="5"/>
  <c r="L39" i="5"/>
  <c r="O39" i="5" s="1"/>
  <c r="N38" i="5"/>
  <c r="M38" i="5"/>
  <c r="I43" i="5"/>
  <c r="J42" i="5"/>
  <c r="J40" i="5"/>
  <c r="I40" i="5"/>
  <c r="J39" i="5"/>
  <c r="I39" i="5"/>
  <c r="K39" i="5" s="1"/>
  <c r="J38" i="5"/>
  <c r="H43" i="5"/>
  <c r="M43" i="5" s="1"/>
  <c r="H42" i="5"/>
  <c r="U42" i="5" s="1"/>
  <c r="H41" i="5"/>
  <c r="T41" i="5" s="1"/>
  <c r="H38" i="5"/>
  <c r="V38" i="5" s="1"/>
  <c r="H30" i="5"/>
  <c r="V30" i="5" s="1"/>
  <c r="N33" i="5"/>
  <c r="M33" i="5"/>
  <c r="R33" i="5"/>
  <c r="Q33" i="5"/>
  <c r="P33" i="5"/>
  <c r="S33" i="5" s="1"/>
  <c r="Y33" i="5" s="1"/>
  <c r="U33" i="5"/>
  <c r="T33" i="5"/>
  <c r="U32" i="5"/>
  <c r="U30" i="5"/>
  <c r="T30" i="5"/>
  <c r="Q32" i="5"/>
  <c r="Q30" i="5"/>
  <c r="P30" i="5"/>
  <c r="M32" i="5"/>
  <c r="M30" i="5"/>
  <c r="L30" i="5"/>
  <c r="J30" i="5"/>
  <c r="I30" i="5"/>
  <c r="H34" i="5"/>
  <c r="U34" i="5" s="1"/>
  <c r="J33" i="5"/>
  <c r="L33" i="5" s="1"/>
  <c r="O33" i="5" s="1"/>
  <c r="I33" i="5"/>
  <c r="V33" i="5" s="1"/>
  <c r="W33" i="5" s="1"/>
  <c r="H32" i="5"/>
  <c r="T32" i="5" s="1"/>
  <c r="H31" i="5"/>
  <c r="I31" i="5" s="1"/>
  <c r="V15" i="5"/>
  <c r="U15" i="5"/>
  <c r="T15" i="5"/>
  <c r="W15" i="5" s="1"/>
  <c r="Q15" i="5"/>
  <c r="P15" i="5"/>
  <c r="N15" i="5"/>
  <c r="L15" i="5"/>
  <c r="J15" i="5"/>
  <c r="I15" i="5"/>
  <c r="K15" i="5" s="1"/>
  <c r="H15" i="5"/>
  <c r="R15" i="5" s="1"/>
  <c r="S15" i="5" s="1"/>
  <c r="V12" i="5"/>
  <c r="R12" i="5"/>
  <c r="N12" i="5"/>
  <c r="O12" i="5" s="1"/>
  <c r="J12" i="5"/>
  <c r="T13" i="5"/>
  <c r="N13" i="5"/>
  <c r="J13" i="5"/>
  <c r="R13" i="5" s="1"/>
  <c r="I13" i="5"/>
  <c r="K13" i="5" s="1"/>
  <c r="V14" i="5"/>
  <c r="U14" i="5"/>
  <c r="T14" i="5"/>
  <c r="R14" i="5"/>
  <c r="S14" i="5" s="1"/>
  <c r="X14" i="1" s="1"/>
  <c r="Y14" i="1" s="1"/>
  <c r="Q14" i="5"/>
  <c r="P14" i="5"/>
  <c r="N14" i="5"/>
  <c r="M14" i="5"/>
  <c r="O14" i="5" s="1"/>
  <c r="Y14" i="5" s="1"/>
  <c r="L14" i="5"/>
  <c r="J14" i="5"/>
  <c r="I14" i="5"/>
  <c r="V11" i="5"/>
  <c r="T11" i="5"/>
  <c r="R11" i="5"/>
  <c r="Q11" i="5"/>
  <c r="N11" i="5"/>
  <c r="M11" i="5"/>
  <c r="L11" i="5"/>
  <c r="J11" i="5"/>
  <c r="U11" i="5" s="1"/>
  <c r="W11" i="5" s="1"/>
  <c r="I11" i="5"/>
  <c r="V10" i="5"/>
  <c r="U10" i="5"/>
  <c r="Q10" i="5"/>
  <c r="P10" i="5"/>
  <c r="L10" i="5"/>
  <c r="J10" i="5"/>
  <c r="H10" i="5"/>
  <c r="T10" i="5" s="1"/>
  <c r="W10" i="5" s="1"/>
  <c r="V9" i="5"/>
  <c r="J9" i="5"/>
  <c r="T9" i="5" s="1"/>
  <c r="I9" i="5"/>
  <c r="T8" i="5"/>
  <c r="N8" i="5"/>
  <c r="J8" i="5"/>
  <c r="R8" i="5" s="1"/>
  <c r="I8" i="5"/>
  <c r="V8" i="5" s="1"/>
  <c r="Q7" i="5"/>
  <c r="L7" i="5"/>
  <c r="J7" i="5"/>
  <c r="U7" i="5" s="1"/>
  <c r="I7" i="5"/>
  <c r="F18" i="5"/>
  <c r="D25" i="5"/>
  <c r="A1" i="2"/>
  <c r="T64" i="1"/>
  <c r="S64" i="1"/>
  <c r="R64" i="1"/>
  <c r="T61" i="1"/>
  <c r="S61" i="1"/>
  <c r="R61" i="1"/>
  <c r="P64" i="1"/>
  <c r="O64" i="1"/>
  <c r="N64" i="1"/>
  <c r="P61" i="1"/>
  <c r="O61" i="1"/>
  <c r="N61" i="1"/>
  <c r="L64" i="1"/>
  <c r="K64" i="1"/>
  <c r="J64" i="1"/>
  <c r="L61" i="1"/>
  <c r="K61" i="1"/>
  <c r="J61" i="1"/>
  <c r="H64" i="1"/>
  <c r="G64" i="1"/>
  <c r="F64" i="1"/>
  <c r="H61" i="1"/>
  <c r="G61" i="1"/>
  <c r="F61" i="1"/>
  <c r="F62" i="1"/>
  <c r="F70" i="1"/>
  <c r="G70" i="1"/>
  <c r="H70" i="1"/>
  <c r="I70" i="1"/>
  <c r="K8" i="5"/>
  <c r="K11" i="5"/>
  <c r="O11" i="5"/>
  <c r="K14" i="5"/>
  <c r="W14" i="5"/>
  <c r="K12" i="5"/>
  <c r="S12" i="5"/>
  <c r="W12" i="5"/>
  <c r="K30" i="5"/>
  <c r="W30" i="5"/>
  <c r="K33" i="5"/>
  <c r="K40" i="5"/>
  <c r="O40" i="5"/>
  <c r="X40" i="1" s="1"/>
  <c r="Y40" i="1" s="1"/>
  <c r="S40" i="5"/>
  <c r="W40" i="5"/>
  <c r="W39" i="5"/>
  <c r="K47" i="5"/>
  <c r="S47" i="5"/>
  <c r="K51" i="5"/>
  <c r="S51" i="5"/>
  <c r="K52" i="5"/>
  <c r="Y52" i="5" s="1"/>
  <c r="O52" i="5"/>
  <c r="S52" i="5"/>
  <c r="K55" i="5"/>
  <c r="Y55" i="5" s="1"/>
  <c r="O55" i="5"/>
  <c r="S55" i="5"/>
  <c r="K56" i="5"/>
  <c r="Y56" i="5" s="1"/>
  <c r="O56" i="5"/>
  <c r="S56" i="5"/>
  <c r="K54" i="5"/>
  <c r="O54" i="5"/>
  <c r="S54" i="5"/>
  <c r="K57" i="5"/>
  <c r="W64" i="1"/>
  <c r="U64" i="1"/>
  <c r="Q64" i="1"/>
  <c r="M64" i="1"/>
  <c r="I64" i="1"/>
  <c r="D64" i="1"/>
  <c r="D62" i="1"/>
  <c r="W61" i="1"/>
  <c r="U61" i="1"/>
  <c r="Q61" i="1"/>
  <c r="M61" i="1"/>
  <c r="I61" i="1"/>
  <c r="D61" i="1"/>
  <c r="I57" i="1"/>
  <c r="M57" i="1"/>
  <c r="Q57" i="1"/>
  <c r="U57" i="1"/>
  <c r="W57" i="1"/>
  <c r="I56" i="1"/>
  <c r="M56" i="1"/>
  <c r="Q56" i="1"/>
  <c r="U56" i="1"/>
  <c r="W56" i="1"/>
  <c r="I55" i="1"/>
  <c r="M55" i="1"/>
  <c r="Q55" i="1"/>
  <c r="U55" i="1"/>
  <c r="W55" i="1"/>
  <c r="I54" i="1"/>
  <c r="M54" i="1"/>
  <c r="Q54" i="1"/>
  <c r="U54" i="1"/>
  <c r="W54" i="1"/>
  <c r="I53" i="1"/>
  <c r="M53" i="1"/>
  <c r="Q53" i="1"/>
  <c r="U53" i="1"/>
  <c r="W53" i="1"/>
  <c r="I52" i="1"/>
  <c r="M52" i="1"/>
  <c r="Q52" i="1"/>
  <c r="U52" i="1"/>
  <c r="W52" i="1"/>
  <c r="I40" i="1"/>
  <c r="M40" i="1"/>
  <c r="Q40" i="1"/>
  <c r="U40" i="1"/>
  <c r="W40" i="1"/>
  <c r="I39" i="1"/>
  <c r="M39" i="1"/>
  <c r="Q39" i="1"/>
  <c r="U39" i="1"/>
  <c r="W39" i="1"/>
  <c r="I14" i="1"/>
  <c r="M14" i="1"/>
  <c r="Q14" i="1"/>
  <c r="U14" i="1"/>
  <c r="W14" i="1"/>
  <c r="I8" i="1"/>
  <c r="M8" i="1"/>
  <c r="Q8" i="1"/>
  <c r="U8" i="1"/>
  <c r="W8" i="1"/>
  <c r="J16" i="5"/>
  <c r="H16" i="5"/>
  <c r="H35" i="5"/>
  <c r="H44" i="5"/>
  <c r="H59" i="5"/>
  <c r="D16" i="5"/>
  <c r="D27" i="5"/>
  <c r="D35" i="5"/>
  <c r="D44" i="5"/>
  <c r="D59" i="5"/>
  <c r="D61" i="5" s="1"/>
  <c r="P27" i="5"/>
  <c r="Q27" i="5"/>
  <c r="R27" i="5"/>
  <c r="L27" i="5"/>
  <c r="M27" i="5"/>
  <c r="N27" i="5"/>
  <c r="H27" i="5"/>
  <c r="I27" i="5"/>
  <c r="J27" i="5"/>
  <c r="T27" i="5"/>
  <c r="U27" i="5"/>
  <c r="V27" i="5"/>
  <c r="J42" i="2"/>
  <c r="I42" i="2"/>
  <c r="H42" i="2"/>
  <c r="G42" i="2"/>
  <c r="E42" i="2"/>
  <c r="F16" i="1"/>
  <c r="F59" i="1"/>
  <c r="F44" i="1"/>
  <c r="F35" i="1"/>
  <c r="F27" i="1"/>
  <c r="G16" i="1"/>
  <c r="G59" i="1"/>
  <c r="G44" i="1"/>
  <c r="G35" i="1"/>
  <c r="G27" i="1"/>
  <c r="H16" i="1"/>
  <c r="H59" i="1"/>
  <c r="H44" i="1"/>
  <c r="H35" i="1"/>
  <c r="H27" i="1"/>
  <c r="J16" i="1"/>
  <c r="J59" i="1"/>
  <c r="J44" i="1"/>
  <c r="J35" i="1"/>
  <c r="J27" i="1"/>
  <c r="K16" i="1"/>
  <c r="K59" i="1"/>
  <c r="K44" i="1"/>
  <c r="K35" i="1"/>
  <c r="K27" i="1"/>
  <c r="L16" i="1"/>
  <c r="L59" i="1"/>
  <c r="L44" i="1"/>
  <c r="L35" i="1"/>
  <c r="L27" i="1"/>
  <c r="N16" i="1"/>
  <c r="N59" i="1"/>
  <c r="N44" i="1"/>
  <c r="N35" i="1"/>
  <c r="N27" i="1"/>
  <c r="O16" i="1"/>
  <c r="O59" i="1"/>
  <c r="O44" i="1"/>
  <c r="O35" i="1"/>
  <c r="O27" i="1"/>
  <c r="P16" i="1"/>
  <c r="P59" i="1"/>
  <c r="P44" i="1"/>
  <c r="P35" i="1"/>
  <c r="P27" i="1"/>
  <c r="R16" i="1"/>
  <c r="R59" i="1"/>
  <c r="R44" i="1"/>
  <c r="R35" i="1"/>
  <c r="R27" i="1"/>
  <c r="S16" i="1"/>
  <c r="S59" i="1"/>
  <c r="S44" i="1"/>
  <c r="S35" i="1"/>
  <c r="S27" i="1"/>
  <c r="T16" i="1"/>
  <c r="T59" i="1"/>
  <c r="T44" i="1"/>
  <c r="T35" i="1"/>
  <c r="T27" i="1"/>
  <c r="D16" i="1"/>
  <c r="D59" i="1"/>
  <c r="D44" i="1"/>
  <c r="D35" i="1"/>
  <c r="D27" i="1"/>
  <c r="U69" i="1"/>
  <c r="Q69" i="1"/>
  <c r="M69" i="1"/>
  <c r="I69" i="1"/>
  <c r="U68" i="1"/>
  <c r="Q68" i="1"/>
  <c r="M68" i="1"/>
  <c r="I68" i="1"/>
  <c r="U67" i="1"/>
  <c r="Q67" i="1"/>
  <c r="M67" i="1"/>
  <c r="I67" i="1"/>
  <c r="A2" i="2"/>
  <c r="A2" i="1"/>
  <c r="A2" i="5"/>
  <c r="A2" i="4"/>
  <c r="J34" i="2"/>
  <c r="I34" i="2"/>
  <c r="H34" i="2"/>
  <c r="H29" i="2"/>
  <c r="H36" i="2"/>
  <c r="H44" i="2"/>
  <c r="G34" i="2"/>
  <c r="E34" i="2"/>
  <c r="J29" i="2"/>
  <c r="I29" i="2"/>
  <c r="G29" i="2"/>
  <c r="E29" i="2"/>
  <c r="A1" i="4"/>
  <c r="A1" i="5"/>
  <c r="A1" i="1"/>
  <c r="D58" i="4"/>
  <c r="D42" i="4"/>
  <c r="D31" i="4"/>
  <c r="D26" i="4"/>
  <c r="D34" i="4"/>
  <c r="D37" i="4"/>
  <c r="D24" i="4"/>
  <c r="B58" i="4"/>
  <c r="B42" i="4"/>
  <c r="B24" i="4"/>
  <c r="D44" i="4"/>
  <c r="D47" i="4"/>
  <c r="D50" i="4"/>
  <c r="H5" i="5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F27" i="5"/>
  <c r="W26" i="5"/>
  <c r="S26" i="5"/>
  <c r="O26" i="5"/>
  <c r="K26" i="5"/>
  <c r="W25" i="5"/>
  <c r="S25" i="5"/>
  <c r="O25" i="5"/>
  <c r="K25" i="5"/>
  <c r="W24" i="5"/>
  <c r="S24" i="5"/>
  <c r="O24" i="5"/>
  <c r="K24" i="5"/>
  <c r="W23" i="5"/>
  <c r="S23" i="5"/>
  <c r="O23" i="5"/>
  <c r="K23" i="5"/>
  <c r="W22" i="5"/>
  <c r="S22" i="5"/>
  <c r="O22" i="5"/>
  <c r="K22" i="5"/>
  <c r="W21" i="5"/>
  <c r="S21" i="5"/>
  <c r="O21" i="5"/>
  <c r="K21" i="5"/>
  <c r="W20" i="5"/>
  <c r="S20" i="5"/>
  <c r="O20" i="5"/>
  <c r="K20" i="5"/>
  <c r="D53" i="4"/>
  <c r="J36" i="2"/>
  <c r="I36" i="2"/>
  <c r="I44" i="2"/>
  <c r="G36" i="2"/>
  <c r="G44" i="2"/>
  <c r="E36" i="2"/>
  <c r="J13" i="2"/>
  <c r="J19" i="2"/>
  <c r="I13" i="2"/>
  <c r="I19" i="2"/>
  <c r="H13" i="2"/>
  <c r="H19" i="2"/>
  <c r="G13" i="2"/>
  <c r="G19" i="2"/>
  <c r="E13" i="2"/>
  <c r="E19" i="2"/>
  <c r="B31" i="4"/>
  <c r="C31" i="4"/>
  <c r="C26" i="4"/>
  <c r="C34" i="4"/>
  <c r="B26" i="4"/>
  <c r="B34" i="4"/>
  <c r="C58" i="4"/>
  <c r="C42" i="4"/>
  <c r="J44" i="2"/>
  <c r="E44" i="2"/>
  <c r="C24" i="4"/>
  <c r="U33" i="1"/>
  <c r="Q33" i="1"/>
  <c r="M33" i="1"/>
  <c r="I33" i="1"/>
  <c r="U58" i="1"/>
  <c r="U51" i="1"/>
  <c r="U50" i="1"/>
  <c r="U49" i="1"/>
  <c r="U48" i="1"/>
  <c r="U47" i="1"/>
  <c r="Q58" i="1"/>
  <c r="Q51" i="1"/>
  <c r="Q50" i="1"/>
  <c r="Q49" i="1"/>
  <c r="Q48" i="1"/>
  <c r="Q47" i="1"/>
  <c r="M58" i="1"/>
  <c r="M51" i="1"/>
  <c r="M50" i="1"/>
  <c r="M49" i="1"/>
  <c r="M48" i="1"/>
  <c r="M47" i="1"/>
  <c r="I58" i="1"/>
  <c r="I51" i="1"/>
  <c r="I50" i="1"/>
  <c r="I49" i="1"/>
  <c r="I48" i="1"/>
  <c r="I47" i="1"/>
  <c r="U43" i="1"/>
  <c r="U42" i="1"/>
  <c r="U41" i="1"/>
  <c r="U38" i="1"/>
  <c r="Q43" i="1"/>
  <c r="Q42" i="1"/>
  <c r="Q41" i="1"/>
  <c r="Q38" i="1"/>
  <c r="M43" i="1"/>
  <c r="M42" i="1"/>
  <c r="M41" i="1"/>
  <c r="M38" i="1"/>
  <c r="I38" i="1"/>
  <c r="I43" i="1"/>
  <c r="I42" i="1"/>
  <c r="I41" i="1"/>
  <c r="U34" i="1"/>
  <c r="U32" i="1"/>
  <c r="U31" i="1"/>
  <c r="U30" i="1"/>
  <c r="Q34" i="1"/>
  <c r="Q32" i="1"/>
  <c r="Q31" i="1"/>
  <c r="Q30" i="1"/>
  <c r="M34" i="1"/>
  <c r="M32" i="1"/>
  <c r="M31" i="1"/>
  <c r="M30" i="1"/>
  <c r="I34" i="1"/>
  <c r="I32" i="1"/>
  <c r="I31" i="1"/>
  <c r="I30" i="1"/>
  <c r="U15" i="1"/>
  <c r="U13" i="1"/>
  <c r="U12" i="1"/>
  <c r="U11" i="1"/>
  <c r="U10" i="1"/>
  <c r="U9" i="1"/>
  <c r="U7" i="1"/>
  <c r="Q15" i="1"/>
  <c r="Q13" i="1"/>
  <c r="Q12" i="1"/>
  <c r="Q11" i="1"/>
  <c r="Q10" i="1"/>
  <c r="Q9" i="1"/>
  <c r="Q7" i="1"/>
  <c r="M15" i="1"/>
  <c r="M13" i="1"/>
  <c r="M12" i="1"/>
  <c r="M11" i="1"/>
  <c r="M10" i="1"/>
  <c r="M9" i="1"/>
  <c r="M7" i="1"/>
  <c r="U26" i="1"/>
  <c r="U25" i="1"/>
  <c r="U24" i="1"/>
  <c r="U23" i="1"/>
  <c r="U22" i="1"/>
  <c r="U21" i="1"/>
  <c r="U20" i="1"/>
  <c r="Q26" i="1"/>
  <c r="Q25" i="1"/>
  <c r="Q24" i="1"/>
  <c r="Q23" i="1"/>
  <c r="Q22" i="1"/>
  <c r="Q21" i="1"/>
  <c r="Q20" i="1"/>
  <c r="M26" i="1"/>
  <c r="M25" i="1"/>
  <c r="M24" i="1"/>
  <c r="M23" i="1"/>
  <c r="M22" i="1"/>
  <c r="M21" i="1"/>
  <c r="M20" i="1"/>
  <c r="I26" i="1"/>
  <c r="I25" i="1"/>
  <c r="I24" i="1"/>
  <c r="I23" i="1"/>
  <c r="I22" i="1"/>
  <c r="I21" i="1"/>
  <c r="I20" i="1"/>
  <c r="I10" i="1"/>
  <c r="I11" i="1"/>
  <c r="I15" i="1"/>
  <c r="I13" i="1"/>
  <c r="I12" i="1"/>
  <c r="I9" i="1"/>
  <c r="I7" i="1"/>
  <c r="Y12" i="5"/>
  <c r="B37" i="4"/>
  <c r="B44" i="4"/>
  <c r="C37" i="4"/>
  <c r="C44" i="4"/>
  <c r="U35" i="1"/>
  <c r="W21" i="1"/>
  <c r="U27" i="1"/>
  <c r="U16" i="1"/>
  <c r="Q59" i="1"/>
  <c r="M35" i="1"/>
  <c r="M16" i="1"/>
  <c r="I59" i="1"/>
  <c r="Q27" i="1"/>
  <c r="U59" i="1"/>
  <c r="Q16" i="1"/>
  <c r="W10" i="1"/>
  <c r="W15" i="1"/>
  <c r="U44" i="1"/>
  <c r="Q44" i="1"/>
  <c r="I27" i="1"/>
  <c r="Q35" i="1"/>
  <c r="I16" i="1"/>
  <c r="W41" i="1"/>
  <c r="T62" i="1"/>
  <c r="W7" i="1"/>
  <c r="H62" i="1"/>
  <c r="I35" i="1"/>
  <c r="M59" i="1"/>
  <c r="R62" i="1"/>
  <c r="G62" i="1"/>
  <c r="W33" i="1"/>
  <c r="P62" i="1"/>
  <c r="N62" i="1"/>
  <c r="L62" i="1"/>
  <c r="M27" i="1"/>
  <c r="K62" i="1"/>
  <c r="M44" i="1"/>
  <c r="I44" i="1"/>
  <c r="W24" i="1"/>
  <c r="W26" i="1"/>
  <c r="W30" i="1"/>
  <c r="W32" i="1"/>
  <c r="W38" i="1"/>
  <c r="W13" i="1"/>
  <c r="W20" i="1"/>
  <c r="W22" i="1"/>
  <c r="W25" i="1"/>
  <c r="W12" i="1"/>
  <c r="W31" i="1"/>
  <c r="W34" i="1"/>
  <c r="W43" i="1"/>
  <c r="W50" i="1"/>
  <c r="W47" i="1"/>
  <c r="W48" i="1"/>
  <c r="W58" i="1"/>
  <c r="W51" i="1"/>
  <c r="W49" i="1"/>
  <c r="W9" i="1"/>
  <c r="W11" i="1"/>
  <c r="W23" i="1"/>
  <c r="W42" i="1"/>
  <c r="O62" i="1"/>
  <c r="S62" i="1"/>
  <c r="J62" i="1"/>
  <c r="B53" i="4"/>
  <c r="B47" i="4"/>
  <c r="B50" i="4"/>
  <c r="C53" i="4"/>
  <c r="C47" i="4"/>
  <c r="C50" i="4"/>
  <c r="M62" i="1"/>
  <c r="N70" i="1"/>
  <c r="D70" i="1"/>
  <c r="K70" i="1"/>
  <c r="P70" i="1"/>
  <c r="R70" i="1"/>
  <c r="J70" i="1"/>
  <c r="O70" i="1"/>
  <c r="S70" i="1"/>
  <c r="L70" i="1"/>
  <c r="T70" i="1"/>
  <c r="I62" i="1"/>
  <c r="W59" i="1"/>
  <c r="W27" i="1"/>
  <c r="W35" i="1"/>
  <c r="W44" i="1"/>
  <c r="W16" i="1"/>
  <c r="M70" i="1"/>
  <c r="U70" i="1"/>
  <c r="Q70" i="1"/>
  <c r="U62" i="1"/>
  <c r="Q62" i="1"/>
  <c r="W62" i="1"/>
  <c r="O57" i="5" l="1"/>
  <c r="S57" i="5"/>
  <c r="W57" i="5"/>
  <c r="Y57" i="5" s="1"/>
  <c r="X54" i="1"/>
  <c r="Y54" i="1" s="1"/>
  <c r="K53" i="5"/>
  <c r="S53" i="5"/>
  <c r="W53" i="5"/>
  <c r="Y53" i="5" s="1"/>
  <c r="X57" i="1"/>
  <c r="Y57" i="1" s="1"/>
  <c r="Y21" i="5"/>
  <c r="S27" i="5"/>
  <c r="D62" i="5"/>
  <c r="D64" i="5" s="1"/>
  <c r="Y11" i="5"/>
  <c r="X22" i="1"/>
  <c r="Y22" i="1" s="1"/>
  <c r="Y26" i="5"/>
  <c r="O27" i="5"/>
  <c r="X55" i="1"/>
  <c r="Y55" i="1" s="1"/>
  <c r="X33" i="1"/>
  <c r="Y33" i="1" s="1"/>
  <c r="X21" i="1"/>
  <c r="Y21" i="1" s="1"/>
  <c r="X25" i="1"/>
  <c r="Y25" i="1" s="1"/>
  <c r="X56" i="1"/>
  <c r="Y56" i="1" s="1"/>
  <c r="Y39" i="5"/>
  <c r="H61" i="5"/>
  <c r="H62" i="5" s="1"/>
  <c r="H64" i="5" s="1"/>
  <c r="X12" i="1"/>
  <c r="Y12" i="1" s="1"/>
  <c r="K7" i="5"/>
  <c r="Y51" i="5"/>
  <c r="X23" i="1"/>
  <c r="Y23" i="1" s="1"/>
  <c r="Y24" i="5"/>
  <c r="X52" i="1"/>
  <c r="Y52" i="1" s="1"/>
  <c r="Y40" i="5"/>
  <c r="Y54" i="5"/>
  <c r="P9" i="5"/>
  <c r="U9" i="5"/>
  <c r="W9" i="5" s="1"/>
  <c r="J31" i="5"/>
  <c r="J34" i="5"/>
  <c r="L31" i="5"/>
  <c r="N34" i="5"/>
  <c r="P31" i="5"/>
  <c r="R34" i="5"/>
  <c r="T31" i="5"/>
  <c r="V34" i="5"/>
  <c r="L41" i="5"/>
  <c r="R41" i="5"/>
  <c r="U41" i="5"/>
  <c r="W41" i="5" s="1"/>
  <c r="J48" i="5"/>
  <c r="J59" i="5" s="1"/>
  <c r="N48" i="5"/>
  <c r="Q48" i="5"/>
  <c r="R58" i="5"/>
  <c r="U48" i="5"/>
  <c r="M7" i="5"/>
  <c r="R7" i="5"/>
  <c r="P8" i="5"/>
  <c r="S8" i="5" s="1"/>
  <c r="U8" i="5"/>
  <c r="U16" i="5" s="1"/>
  <c r="L9" i="5"/>
  <c r="Q9" i="5"/>
  <c r="P13" i="5"/>
  <c r="U13" i="5"/>
  <c r="I32" i="5"/>
  <c r="M31" i="5"/>
  <c r="N32" i="5"/>
  <c r="Q31" i="5"/>
  <c r="Q35" i="5" s="1"/>
  <c r="R32" i="5"/>
  <c r="U31" i="5"/>
  <c r="U35" i="5" s="1"/>
  <c r="V32" i="5"/>
  <c r="W32" i="5" s="1"/>
  <c r="I41" i="5"/>
  <c r="M41" i="5"/>
  <c r="M44" i="5" s="1"/>
  <c r="N42" i="5"/>
  <c r="P42" i="5"/>
  <c r="S42" i="5" s="1"/>
  <c r="V41" i="5"/>
  <c r="V44" i="5" s="1"/>
  <c r="I49" i="5"/>
  <c r="I58" i="5"/>
  <c r="L49" i="5"/>
  <c r="L58" i="5"/>
  <c r="R48" i="5"/>
  <c r="T49" i="5"/>
  <c r="T58" i="5"/>
  <c r="V48" i="5"/>
  <c r="K31" i="5"/>
  <c r="N7" i="5"/>
  <c r="T7" i="5"/>
  <c r="L8" i="5"/>
  <c r="Q8" i="5"/>
  <c r="M9" i="5"/>
  <c r="R9" i="5"/>
  <c r="M10" i="5"/>
  <c r="O10" i="5" s="1"/>
  <c r="R10" i="5"/>
  <c r="S10" i="5" s="1"/>
  <c r="L13" i="5"/>
  <c r="Q13" i="5"/>
  <c r="V13" i="5"/>
  <c r="J32" i="5"/>
  <c r="N31" i="5"/>
  <c r="L34" i="5"/>
  <c r="R31" i="5"/>
  <c r="P34" i="5"/>
  <c r="V31" i="5"/>
  <c r="T34" i="5"/>
  <c r="J41" i="5"/>
  <c r="J44" i="5" s="1"/>
  <c r="J43" i="5"/>
  <c r="K43" i="5" s="1"/>
  <c r="N41" i="5"/>
  <c r="N44" i="5" s="1"/>
  <c r="L43" i="5"/>
  <c r="O43" i="5" s="1"/>
  <c r="P41" i="5"/>
  <c r="Q42" i="5"/>
  <c r="R43" i="5"/>
  <c r="S43" i="5" s="1"/>
  <c r="T42" i="5"/>
  <c r="W42" i="5" s="1"/>
  <c r="U43" i="5"/>
  <c r="W43" i="5" s="1"/>
  <c r="V43" i="5"/>
  <c r="J49" i="5"/>
  <c r="J58" i="5"/>
  <c r="L48" i="5"/>
  <c r="M49" i="5"/>
  <c r="N50" i="5"/>
  <c r="O50" i="5" s="1"/>
  <c r="M58" i="5"/>
  <c r="P49" i="5"/>
  <c r="S49" i="5" s="1"/>
  <c r="Q50" i="5"/>
  <c r="P58" i="5"/>
  <c r="U49" i="5"/>
  <c r="U58" i="5"/>
  <c r="V51" i="5"/>
  <c r="W51" i="5" s="1"/>
  <c r="X51" i="1" s="1"/>
  <c r="Y51" i="1" s="1"/>
  <c r="V47" i="5"/>
  <c r="K34" i="5"/>
  <c r="K9" i="5"/>
  <c r="P7" i="5"/>
  <c r="M8" i="5"/>
  <c r="N9" i="5"/>
  <c r="I10" i="5"/>
  <c r="N10" i="5"/>
  <c r="P11" i="5"/>
  <c r="S11" i="5" s="1"/>
  <c r="X11" i="1" s="1"/>
  <c r="Y11" i="1" s="1"/>
  <c r="M13" i="5"/>
  <c r="M15" i="5"/>
  <c r="O15" i="5" s="1"/>
  <c r="Y15" i="5" s="1"/>
  <c r="I34" i="5"/>
  <c r="N30" i="5"/>
  <c r="L32" i="5"/>
  <c r="O32" i="5" s="1"/>
  <c r="M34" i="5"/>
  <c r="R30" i="5"/>
  <c r="P32" i="5"/>
  <c r="S32" i="5" s="1"/>
  <c r="Q34" i="5"/>
  <c r="I38" i="5"/>
  <c r="I42" i="5"/>
  <c r="K42" i="5" s="1"/>
  <c r="L38" i="5"/>
  <c r="L42" i="5"/>
  <c r="O42" i="5" s="1"/>
  <c r="R38" i="5"/>
  <c r="Q41" i="5"/>
  <c r="Q44" i="5" s="1"/>
  <c r="R42" i="5"/>
  <c r="T38" i="5"/>
  <c r="I48" i="5"/>
  <c r="I50" i="5"/>
  <c r="K50" i="5" s="1"/>
  <c r="M48" i="5"/>
  <c r="N49" i="5"/>
  <c r="N58" i="5"/>
  <c r="P48" i="5"/>
  <c r="R50" i="5"/>
  <c r="Q58" i="5"/>
  <c r="T50" i="5"/>
  <c r="W50" i="5" s="1"/>
  <c r="X24" i="1"/>
  <c r="Y24" i="1" s="1"/>
  <c r="Y25" i="5"/>
  <c r="W27" i="5"/>
  <c r="Y23" i="5"/>
  <c r="Y22" i="5"/>
  <c r="X20" i="1"/>
  <c r="Y20" i="1" s="1"/>
  <c r="X26" i="1"/>
  <c r="Y26" i="1" s="1"/>
  <c r="K27" i="5"/>
  <c r="Y20" i="5"/>
  <c r="X53" i="1" l="1"/>
  <c r="Y53" i="1" s="1"/>
  <c r="Y27" i="5"/>
  <c r="K48" i="5"/>
  <c r="I59" i="5"/>
  <c r="K38" i="5"/>
  <c r="I44" i="5"/>
  <c r="K44" i="5" s="1"/>
  <c r="K10" i="5"/>
  <c r="I16" i="5"/>
  <c r="K16" i="5" s="1"/>
  <c r="W13" i="5"/>
  <c r="U59" i="5"/>
  <c r="W48" i="5"/>
  <c r="W7" i="5"/>
  <c r="T16" i="5"/>
  <c r="W31" i="5"/>
  <c r="T35" i="5"/>
  <c r="O48" i="5"/>
  <c r="L59" i="5"/>
  <c r="S41" i="5"/>
  <c r="P44" i="5"/>
  <c r="O58" i="5"/>
  <c r="W38" i="5"/>
  <c r="T44" i="5"/>
  <c r="O34" i="5"/>
  <c r="Y34" i="5" s="1"/>
  <c r="W58" i="5"/>
  <c r="O49" i="5"/>
  <c r="S13" i="5"/>
  <c r="O31" i="5"/>
  <c r="Y31" i="5" s="1"/>
  <c r="L35" i="5"/>
  <c r="O35" i="5" s="1"/>
  <c r="M59" i="5"/>
  <c r="O38" i="5"/>
  <c r="L44" i="5"/>
  <c r="O44" i="5" s="1"/>
  <c r="O30" i="5"/>
  <c r="Y30" i="5" s="1"/>
  <c r="N35" i="5"/>
  <c r="O13" i="5"/>
  <c r="W49" i="5"/>
  <c r="T59" i="5"/>
  <c r="R16" i="5"/>
  <c r="X15" i="1"/>
  <c r="Y15" i="1" s="1"/>
  <c r="S38" i="5"/>
  <c r="R44" i="5"/>
  <c r="Y9" i="5"/>
  <c r="O8" i="5"/>
  <c r="Y8" i="5" s="1"/>
  <c r="L16" i="5"/>
  <c r="K41" i="5"/>
  <c r="W34" i="5"/>
  <c r="X8" i="1"/>
  <c r="Y8" i="1" s="1"/>
  <c r="U44" i="5"/>
  <c r="S9" i="5"/>
  <c r="V16" i="5"/>
  <c r="W47" i="5"/>
  <c r="V59" i="5"/>
  <c r="S58" i="5"/>
  <c r="V35" i="5"/>
  <c r="N16" i="5"/>
  <c r="K58" i="5"/>
  <c r="M35" i="5"/>
  <c r="Q59" i="5"/>
  <c r="Q61" i="5" s="1"/>
  <c r="S48" i="5"/>
  <c r="P59" i="5"/>
  <c r="X42" i="1"/>
  <c r="Y42" i="1" s="1"/>
  <c r="Y42" i="5"/>
  <c r="S30" i="5"/>
  <c r="R35" i="5"/>
  <c r="S7" i="5"/>
  <c r="X7" i="1" s="1"/>
  <c r="P16" i="5"/>
  <c r="S50" i="5"/>
  <c r="Y50" i="5" s="1"/>
  <c r="X43" i="1"/>
  <c r="Y43" i="1" s="1"/>
  <c r="Y43" i="5"/>
  <c r="S34" i="5"/>
  <c r="X34" i="1" s="1"/>
  <c r="Y34" i="1" s="1"/>
  <c r="Q16" i="5"/>
  <c r="X31" i="1"/>
  <c r="Y31" i="1" s="1"/>
  <c r="R59" i="5"/>
  <c r="K49" i="5"/>
  <c r="K32" i="5"/>
  <c r="I35" i="5"/>
  <c r="O9" i="5"/>
  <c r="X9" i="1" s="1"/>
  <c r="Y9" i="1" s="1"/>
  <c r="M16" i="5"/>
  <c r="N59" i="5"/>
  <c r="N61" i="5" s="1"/>
  <c r="N62" i="5" s="1"/>
  <c r="N64" i="5" s="1"/>
  <c r="O41" i="5"/>
  <c r="S31" i="5"/>
  <c r="P35" i="5"/>
  <c r="S35" i="5" s="1"/>
  <c r="J35" i="5"/>
  <c r="J61" i="5" s="1"/>
  <c r="J62" i="5" s="1"/>
  <c r="J64" i="5" s="1"/>
  <c r="W8" i="5"/>
  <c r="O7" i="5"/>
  <c r="X27" i="1"/>
  <c r="Y27" i="1" s="1"/>
  <c r="S44" i="5" l="1"/>
  <c r="W44" i="5"/>
  <c r="Y7" i="1"/>
  <c r="X32" i="1"/>
  <c r="Y32" i="5"/>
  <c r="Y47" i="5"/>
  <c r="X47" i="1"/>
  <c r="Y47" i="1" s="1"/>
  <c r="W59" i="5"/>
  <c r="W61" i="5" s="1"/>
  <c r="W62" i="5" s="1"/>
  <c r="W64" i="5" s="1"/>
  <c r="T61" i="5"/>
  <c r="T62" i="5" s="1"/>
  <c r="T64" i="5" s="1"/>
  <c r="X50" i="1"/>
  <c r="W35" i="5"/>
  <c r="Y13" i="5"/>
  <c r="X48" i="1"/>
  <c r="Y48" i="1" s="1"/>
  <c r="Y48" i="5"/>
  <c r="Y7" i="5"/>
  <c r="X38" i="1"/>
  <c r="Y38" i="5"/>
  <c r="X49" i="1"/>
  <c r="Y49" i="1" s="1"/>
  <c r="Y49" i="5"/>
  <c r="Q62" i="5"/>
  <c r="Q64" i="5" s="1"/>
  <c r="I61" i="5"/>
  <c r="I62" i="5" s="1"/>
  <c r="I64" i="5" s="1"/>
  <c r="K59" i="5"/>
  <c r="R61" i="5"/>
  <c r="R62" i="5" s="1"/>
  <c r="R64" i="5" s="1"/>
  <c r="X30" i="1"/>
  <c r="Y30" i="1" s="1"/>
  <c r="X41" i="1"/>
  <c r="Y41" i="1" s="1"/>
  <c r="Y41" i="5"/>
  <c r="X13" i="1"/>
  <c r="Y13" i="1" s="1"/>
  <c r="X10" i="1"/>
  <c r="Y10" i="1" s="1"/>
  <c r="Y10" i="5"/>
  <c r="K35" i="5"/>
  <c r="Y35" i="5" s="1"/>
  <c r="S16" i="5"/>
  <c r="Y16" i="5" s="1"/>
  <c r="S59" i="5"/>
  <c r="S61" i="5" s="1"/>
  <c r="P61" i="5"/>
  <c r="P62" i="5" s="1"/>
  <c r="P64" i="5" s="1"/>
  <c r="Y58" i="5"/>
  <c r="X58" i="1"/>
  <c r="Y58" i="1" s="1"/>
  <c r="V61" i="5"/>
  <c r="V62" i="5" s="1"/>
  <c r="V64" i="5" s="1"/>
  <c r="O16" i="5"/>
  <c r="M61" i="5"/>
  <c r="M62" i="5" s="1"/>
  <c r="M64" i="5" s="1"/>
  <c r="O59" i="5"/>
  <c r="O61" i="5" s="1"/>
  <c r="O62" i="5" s="1"/>
  <c r="O64" i="5" s="1"/>
  <c r="L61" i="5"/>
  <c r="L62" i="5" s="1"/>
  <c r="L64" i="5" s="1"/>
  <c r="W16" i="5"/>
  <c r="U61" i="5"/>
  <c r="U62" i="5" s="1"/>
  <c r="U64" i="5" s="1"/>
  <c r="Y44" i="5"/>
  <c r="Y38" i="1" l="1"/>
  <c r="X44" i="1"/>
  <c r="Y44" i="1" s="1"/>
  <c r="X35" i="1"/>
  <c r="Y35" i="1" s="1"/>
  <c r="Y32" i="1"/>
  <c r="Y59" i="5"/>
  <c r="K61" i="5"/>
  <c r="S62" i="5"/>
  <c r="S64" i="5" s="1"/>
  <c r="X59" i="1"/>
  <c r="Y50" i="1"/>
  <c r="X16" i="1"/>
  <c r="Y59" i="1" l="1"/>
  <c r="X61" i="1"/>
  <c r="Y61" i="1" s="1"/>
  <c r="Y16" i="1"/>
  <c r="Y61" i="5"/>
  <c r="K62" i="5"/>
  <c r="X62" i="1" l="1"/>
  <c r="Y62" i="1"/>
  <c r="X64" i="1"/>
  <c r="Y64" i="1" s="1"/>
  <c r="Y62" i="5"/>
  <c r="K64" i="5"/>
  <c r="Y6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Whitney Jones</author>
  </authors>
  <commentList>
    <comment ref="B4" authorId="0" shapeId="0" xr:uid="{61C7C70B-34D3-E94F-814B-8EBFA5FC9498}">
      <text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per Q4 FY18 per pupil funding payment</t>
        </r>
      </text>
    </comment>
    <comment ref="C4" authorId="1" shapeId="0" xr:uid="{00000000-0006-0000-0100-000001000000}">
      <text>
        <r>
          <rPr>
            <sz val="9"/>
            <color rgb="FF000000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James Loi</author>
  </authors>
  <commentList>
    <comment ref="B10" authorId="0" shapeId="0" xr:uid="{FA0618A9-FEBA-A44D-99E1-7B7A0D0E2FE6}">
      <text>
        <r>
          <rPr>
            <sz val="10"/>
            <color rgb="FF000000"/>
            <rFont val="Tahoma"/>
            <family val="2"/>
          </rPr>
          <t xml:space="preserve"> all 4100 accounts</t>
        </r>
      </text>
    </comment>
    <comment ref="B11" authorId="0" shapeId="0" xr:uid="{F3FBFE14-3D6D-A04F-8D56-10B0D8902056}">
      <text>
        <r>
          <rPr>
            <sz val="10"/>
            <color rgb="FF000000"/>
            <rFont val="Tahoma"/>
            <family val="2"/>
          </rPr>
          <t xml:space="preserve">local state grants
</t>
        </r>
        <r>
          <rPr>
            <sz val="10"/>
            <color rgb="FF000000"/>
            <rFont val="Tahoma"/>
            <family val="2"/>
          </rPr>
          <t xml:space="preserve">account 4030
</t>
        </r>
      </text>
    </comment>
    <comment ref="B12" authorId="0" shapeId="0" xr:uid="{0DBE5D1A-6A6E-AF47-937C-A857D2E07142}">
      <text>
        <r>
          <rPr>
            <sz val="10"/>
            <color rgb="FF000000"/>
            <rFont val="Tahoma"/>
            <family val="2"/>
          </rPr>
          <t xml:space="preserve">all 4200 accounts
</t>
        </r>
        <r>
          <rPr>
            <sz val="10"/>
            <color rgb="FF000000"/>
            <rFont val="Tahoma"/>
            <family val="2"/>
          </rPr>
          <t xml:space="preserve">account 4910
</t>
        </r>
      </text>
    </comment>
    <comment ref="B13" authorId="0" shapeId="0" xr:uid="{D7D55A75-1075-1D48-B7F8-D3C349B65085}">
      <text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 xml:space="preserve">account 4920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15" authorId="0" shapeId="0" xr:uid="{6BFF8AF7-D918-164A-8634-C5C43400C105}">
      <text>
        <r>
          <rPr>
            <sz val="10"/>
            <color rgb="FF000000"/>
            <rFont val="Tahoma"/>
            <family val="2"/>
          </rPr>
          <t>account 4930</t>
        </r>
      </text>
    </comment>
    <comment ref="B20" authorId="1" shapeId="0" xr:uid="{2EE6D101-C637-894E-AF18-1248AAEA538F}">
      <text>
        <r>
          <rPr>
            <sz val="10"/>
            <color rgb="FF000000"/>
            <rFont val="Tahoma"/>
            <family val="2"/>
          </rPr>
          <t>acct 5005: principals/APs</t>
        </r>
      </text>
    </comment>
    <comment ref="B21" authorId="1" shapeId="0" xr:uid="{C124526C-8318-5446-A857-0E7A8C0C10EF}">
      <text>
        <r>
          <rPr>
            <sz val="10"/>
            <color rgb="FF000000"/>
            <rFont val="Tahoma"/>
            <family val="2"/>
          </rPr>
          <t>gen ed teachers and IAs</t>
        </r>
      </text>
    </comment>
    <comment ref="B22" authorId="1" shapeId="0" xr:uid="{01A70E55-0868-2149-B73F-55DDC57E2093}">
      <text>
        <r>
          <rPr>
            <sz val="10"/>
            <color rgb="FF000000"/>
            <rFont val="Tahoma"/>
            <family val="2"/>
          </rPr>
          <t xml:space="preserve">SPED teachers
</t>
        </r>
        <r>
          <rPr>
            <sz val="10"/>
            <color rgb="FF000000"/>
            <rFont val="Tahoma"/>
            <family val="2"/>
          </rPr>
          <t xml:space="preserve">ELL teachers
</t>
        </r>
        <r>
          <rPr>
            <sz val="10"/>
            <color rgb="FF000000"/>
            <rFont val="Tahoma"/>
            <family val="2"/>
          </rPr>
          <t xml:space="preserve">DAs
</t>
        </r>
        <r>
          <rPr>
            <sz val="10"/>
            <color rgb="FF000000"/>
            <rFont val="Tahoma"/>
            <family val="2"/>
          </rPr>
          <t>SPED IAs</t>
        </r>
      </text>
    </comment>
    <comment ref="B23" authorId="1" shapeId="0" xr:uid="{D024CA36-AEBF-824F-BE0B-2545E18967B7}">
      <text>
        <r>
          <rPr>
            <sz val="10"/>
            <color rgb="FF000000"/>
            <rFont val="Tahoma"/>
            <family val="2"/>
          </rPr>
          <t xml:space="preserve">couns/interv 10 mo
</t>
        </r>
        <r>
          <rPr>
            <sz val="10"/>
            <color rgb="FF000000"/>
            <rFont val="Tahoma"/>
            <family val="2"/>
          </rPr>
          <t xml:space="preserve">OT/PT/SPED coord 10 mo
</t>
        </r>
        <r>
          <rPr>
            <sz val="10"/>
            <color rgb="FF000000"/>
            <rFont val="Tahoma"/>
            <family val="2"/>
          </rPr>
          <t xml:space="preserve">Curr/FE/LM 12 mo
</t>
        </r>
        <r>
          <rPr>
            <sz val="10"/>
            <color rgb="FF000000"/>
            <rFont val="Tahoma"/>
            <family val="2"/>
          </rPr>
          <t>A Dir SPED/ESL M 12 mo</t>
        </r>
      </text>
    </comment>
    <comment ref="B25" authorId="1" shapeId="0" xr:uid="{033BA1D6-F7EA-5F4A-94B6-EE1AA93BA2CA}">
      <text>
        <r>
          <rPr>
            <sz val="10"/>
            <color rgb="FF000000"/>
            <rFont val="Tahoma"/>
            <family val="2"/>
          </rPr>
          <t xml:space="preserve">accts 5030-5055
</t>
        </r>
        <r>
          <rPr>
            <sz val="10"/>
            <color rgb="FF000000"/>
            <rFont val="Tahoma"/>
            <family val="2"/>
          </rPr>
          <t xml:space="preserve">admin 12 mo
</t>
        </r>
        <r>
          <rPr>
            <sz val="10"/>
            <color rgb="FF000000"/>
            <rFont val="Tahoma"/>
            <family val="2"/>
          </rPr>
          <t xml:space="preserve">meals 10 mo
</t>
        </r>
        <r>
          <rPr>
            <sz val="10"/>
            <color rgb="FF000000"/>
            <rFont val="Tahoma"/>
            <family val="2"/>
          </rPr>
          <t xml:space="preserve">BCAC 10 mo
</t>
        </r>
        <r>
          <rPr>
            <sz val="10"/>
            <color rgb="FF000000"/>
            <rFont val="Tahoma"/>
            <family val="2"/>
          </rPr>
          <t xml:space="preserve">intern Jul only
</t>
        </r>
        <r>
          <rPr>
            <sz val="10"/>
            <color rgb="FF000000"/>
            <rFont val="Tahoma"/>
            <family val="2"/>
          </rPr>
          <t xml:space="preserve">ESL ATB Jan-Mar
</t>
        </r>
        <r>
          <rPr>
            <sz val="10"/>
            <color rgb="FF000000"/>
            <rFont val="Tahoma"/>
            <family val="2"/>
          </rPr>
          <t xml:space="preserve">stipends summer Jul only
</t>
        </r>
        <r>
          <rPr>
            <sz val="10"/>
            <color rgb="FF000000"/>
            <rFont val="Tahoma"/>
            <family val="2"/>
          </rPr>
          <t xml:space="preserve">stipends sat school Mar only
</t>
        </r>
        <r>
          <rPr>
            <sz val="10"/>
            <color rgb="FF000000"/>
            <rFont val="Tahoma"/>
            <family val="2"/>
          </rPr>
          <t xml:space="preserve">stipends other Dec/Jun
</t>
        </r>
        <r>
          <rPr>
            <sz val="10"/>
            <color rgb="FF000000"/>
            <rFont val="Tahoma"/>
            <family val="2"/>
          </rPr>
          <t xml:space="preserve">subs 10 mo
</t>
        </r>
        <r>
          <rPr>
            <sz val="10"/>
            <color rgb="FF000000"/>
            <rFont val="Tahoma"/>
            <family val="2"/>
          </rPr>
          <t xml:space="preserve">contracted staff Jul
</t>
        </r>
        <r>
          <rPr>
            <sz val="10"/>
            <color rgb="FF000000"/>
            <rFont val="Tahoma"/>
            <family val="2"/>
          </rPr>
          <t>bonus Dec/Jun</t>
        </r>
      </text>
    </comment>
    <comment ref="F25" authorId="1" shapeId="0" xr:uid="{02A2B89A-595C-DD44-B63E-1D54F18F5470}">
      <text>
        <r>
          <rPr>
            <sz val="10"/>
            <color rgb="FF000000"/>
            <rFont val="Tahoma"/>
            <family val="2"/>
          </rPr>
          <t xml:space="preserve">35 part time - before/after care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26" authorId="1" shapeId="0" xr:uid="{EBB6D366-BC91-C044-A037-F6E126731E5F}">
      <text>
        <r>
          <rPr>
            <sz val="10"/>
            <color rgb="FF000000"/>
            <rFont val="Tahoma"/>
            <family val="2"/>
          </rPr>
          <t xml:space="preserve">acct 5105-5135
</t>
        </r>
        <r>
          <rPr>
            <sz val="10"/>
            <color rgb="FF000000"/>
            <rFont val="Tahoma"/>
            <family val="2"/>
          </rPr>
          <t xml:space="preserve">acct 5150
</t>
        </r>
      </text>
    </comment>
    <comment ref="B30" authorId="0" shapeId="0" xr:uid="{FAD9D92F-1125-324C-85D5-9DB8B72183D0}">
      <text>
        <r>
          <rPr>
            <sz val="10"/>
            <color rgb="FF000000"/>
            <rFont val="Tahoma"/>
            <family val="2"/>
          </rPr>
          <t>account 5210 and 5220</t>
        </r>
      </text>
    </comment>
    <comment ref="B34" authorId="0" shapeId="0" xr:uid="{CEFF39A0-B6C5-304F-B59E-ACF2D970D5C1}">
      <text>
        <r>
          <rPr>
            <sz val="10"/>
            <color rgb="FF000000"/>
            <rFont val="Tahoma"/>
            <family val="2"/>
          </rPr>
          <t xml:space="preserve">account 5215, 5235, 5290
</t>
        </r>
      </text>
    </comment>
    <comment ref="B53" authorId="1" shapeId="0" xr:uid="{BE2F36F8-6F03-6544-BEEB-86134DFA3001}">
      <text>
        <r>
          <rPr>
            <sz val="10"/>
            <color rgb="FF000000"/>
            <rFont val="Tahoma"/>
            <family val="2"/>
          </rPr>
          <t xml:space="preserve">acct 5141-5144
</t>
        </r>
      </text>
    </comment>
    <comment ref="B58" authorId="1" shapeId="0" xr:uid="{F846DBAF-B531-B447-A30C-6635D328927B}">
      <text>
        <r>
          <rPr>
            <sz val="10"/>
            <color rgb="FF000000"/>
            <rFont val="Tahoma"/>
            <family val="2"/>
          </rPr>
          <t>Accts 5405, 5415,  5425-5450, 5460, 5470-5410</t>
        </r>
      </text>
    </comment>
  </commentList>
</comments>
</file>

<file path=xl/sharedStrings.xml><?xml version="1.0" encoding="utf-8"?>
<sst xmlns="http://schemas.openxmlformats.org/spreadsheetml/2006/main" count="283" uniqueCount="189">
  <si>
    <t>Year to Date</t>
  </si>
  <si>
    <t>Actual</t>
  </si>
  <si>
    <t>Budget</t>
  </si>
  <si>
    <t>Variance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</si>
  <si>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</si>
  <si>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</si>
  <si>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</si>
  <si>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</si>
  <si>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</si>
  <si>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</si>
  <si>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</si>
  <si>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</si>
  <si>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</si>
  <si>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</si>
  <si>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</si>
  <si>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</si>
  <si>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</si>
  <si>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</si>
  <si>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</si>
  <si>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</si>
  <si>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</si>
  <si>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</si>
  <si>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</si>
  <si>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</si>
  <si>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</si>
  <si>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</si>
  <si>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</si>
  <si>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</si>
  <si>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</si>
  <si>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</si>
  <si>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</si>
  <si>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</si>
  <si>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</si>
  <si>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</si>
  <si>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</si>
  <si>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</si>
  <si>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</si>
  <si>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Actuals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</si>
  <si>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</si>
  <si>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</si>
  <si>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</si>
  <si>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</si>
  <si>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</si>
  <si>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</si>
  <si>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</si>
  <si>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</si>
  <si>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</si>
  <si>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</si>
  <si>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</si>
  <si>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</si>
  <si>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</si>
  <si>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</si>
  <si>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</si>
  <si>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</si>
  <si>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</si>
  <si>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</si>
  <si>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</si>
  <si>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</si>
  <si>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</si>
  <si>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</si>
  <si>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</si>
  <si>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</si>
  <si>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</si>
  <si>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</si>
  <si>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</si>
  <si>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</si>
  <si>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</si>
  <si>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</si>
  <si>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</si>
  <si>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</si>
  <si>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</si>
  <si>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</si>
  <si>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</si>
  <si>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</si>
  <si>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</si>
  <si>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</si>
  <si>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</si>
  <si>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</si>
  <si>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</si>
  <si>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</si>
  <si>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</si>
  <si>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</si>
  <si>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</si>
  <si>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</si>
  <si>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</si>
  <si>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</si>
  <si>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As of 9/30</t>
  </si>
  <si>
    <t>As of 12/31</t>
  </si>
  <si>
    <t>As of 3/31</t>
  </si>
  <si>
    <t>As of 6/30</t>
  </si>
  <si>
    <t>ASSETS</t>
  </si>
  <si>
    <t xml:space="preserve">Cash and cash equivalents </t>
  </si>
  <si>
    <t>Accounts receivables</t>
  </si>
  <si>
    <t>TOTAL CURRENT ASSETS</t>
  </si>
  <si>
    <t>PROPERTY, BUILDING AND EQUIPMENT, net</t>
  </si>
  <si>
    <t>OTHER ASSETS</t>
  </si>
  <si>
    <t>TOTAL ASSETS</t>
  </si>
  <si>
    <t>LIABILITIES AND NET ASSETS</t>
  </si>
  <si>
    <t>Accounts payable and accrued expenses</t>
  </si>
  <si>
    <t>Accrued payroll and benefits</t>
  </si>
  <si>
    <t>TOTAL CURRENT LIABILITIES</t>
  </si>
  <si>
    <t>TOTAL LIABILITIES</t>
  </si>
  <si>
    <t>Unrestricted</t>
  </si>
  <si>
    <t>Temporarily restricted</t>
  </si>
  <si>
    <t>TOTAL NET ASSETS</t>
  </si>
  <si>
    <t>TOTAL LIABILITIES AND NET ASSETS</t>
  </si>
  <si>
    <t>Deferred Revenue</t>
  </si>
  <si>
    <t>TOTAL LONG-TERM LIABILITIES</t>
  </si>
  <si>
    <t>Other current liabilities</t>
  </si>
  <si>
    <t>Other current assets</t>
  </si>
  <si>
    <t>Prepaid expenses</t>
  </si>
  <si>
    <t>No. of Positions</t>
  </si>
  <si>
    <t>Annual Budget</t>
  </si>
  <si>
    <t>FY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</si>
  <si>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</si>
  <si>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</si>
  <si>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</si>
  <si>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</si>
  <si>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</si>
  <si>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</si>
  <si>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</si>
  <si>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</si>
  <si>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</si>
  <si>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Current Assets</t>
  </si>
  <si>
    <t>Current Liabilities</t>
  </si>
  <si>
    <t>Long-term Liabilities</t>
  </si>
  <si>
    <t>Long-term debt, net of current portion</t>
  </si>
  <si>
    <t>Other long-term liabilities</t>
  </si>
  <si>
    <t>Net Assets</t>
  </si>
  <si>
    <t>CASH FLOW ADJUSTMENTS</t>
  </si>
  <si>
    <t>Operating Activities</t>
  </si>
  <si>
    <t>Investing Activities</t>
  </si>
  <si>
    <t>Financing Activities</t>
  </si>
  <si>
    <t>NET CASH FLOW</t>
  </si>
  <si>
    <t>Permanently restricted</t>
  </si>
  <si>
    <t>DC PCSB Interim Financials Reporting Template</t>
  </si>
  <si>
    <t>Enter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</si>
  <si>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</si>
  <si>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</si>
  <si>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</si>
  <si>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</si>
  <si>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</si>
  <si>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</si>
  <si>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</si>
  <si>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</si>
  <si>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</si>
  <si>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</si>
  <si>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</si>
  <si>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</si>
  <si>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</si>
  <si>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</si>
  <si>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Forecast</t>
  </si>
  <si>
    <t>As of ______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</si>
  <si>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</si>
  <si>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</si>
  <si>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</si>
  <si>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</si>
  <si>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</si>
  <si>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</si>
  <si>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</si>
  <si>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</si>
  <si>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</si>
  <si>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</si>
  <si>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</si>
  <si>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</si>
  <si>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</si>
  <si>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</si>
  <si>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</si>
  <si>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</si>
  <si>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</si>
  <si>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</si>
  <si>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</si>
  <si>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</si>
  <si>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Notes</t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</si>
  <si>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deposits, amortized expenses, restricted cash balances, etc.</t>
    </r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</si>
  <si>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deferred rent, lease obligations, etc. </t>
    </r>
  </si>
  <si>
    <t>All Federal sources of revenue are under this line item.</t>
  </si>
  <si>
    <t>State grants fall under this line item.</t>
  </si>
  <si>
    <t>Current portion of long-term debt</t>
  </si>
  <si>
    <t>A portion of the total depreciation expense is allocated to "occupancy" expenses. This represents depreciation related to the facilities.</t>
  </si>
  <si>
    <t>A portion of the total interest expense is allocated to "occupancy" expenses. This represents interest related to the facilities.</t>
  </si>
  <si>
    <t>A portion of the total interest expense is allocated to "general" expenses. This represents interest NOT related to the facilities.</t>
  </si>
  <si>
    <t>A portion of the total depreciation expense is allocated to "general" expenses. This represents depreciation NOT related to the facilities.</t>
  </si>
  <si>
    <t>This includes all highly liquid investments purchased with an original maturity of three months or less.</t>
  </si>
  <si>
    <t>Center City Public Charter Schools</t>
  </si>
  <si>
    <t>Jennifer Loi</t>
  </si>
  <si>
    <t>jloi@centercitypcs.org</t>
  </si>
  <si>
    <t>202-589-0202</t>
  </si>
  <si>
    <t>FY2019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</si>
</sst>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* #,##0.00_);_(* \(#,##0.00\);_(* &quot;-&quot;??_);_(* @_)"/>
    <numFmt numFmtId="167" formatCode="0.000"/>
    <numFmt numFmtId="168" formatCode="#,##0.0000_);[Red]\(#,##0.0000\)"/>
    <numFmt numFmtId="169" formatCode="0.0000%"/>
    <numFmt numFmtId="170" formatCode="#,##0.00\d_);[Red]\(#,##0.00\d\)"/>
    <numFmt numFmtId="171" formatCode="#,##0.00\x_);[Red]\(#,##0.00\x\)"/>
    <numFmt numFmtId="172" formatCode="#,##0.00%_);[Red]\(#,##0.00%\)"/>
    <numFmt numFmtId="173" formatCode="[$USD]\ #,##0.00_);[Red]\([$USD]\ #,##0.00\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sz val="9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8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36" fillId="0" borderId="0" applyFill="0" applyBorder="0" applyProtection="0"/>
    <xf numFmtId="169" fontId="36" fillId="0" borderId="0" applyFill="0" applyBorder="0" applyProtection="0"/>
    <xf numFmtId="170" fontId="37" fillId="0" borderId="0" applyFill="0" applyBorder="0" applyProtection="0"/>
    <xf numFmtId="171" fontId="37" fillId="0" borderId="0" applyFill="0" applyBorder="0" applyProtection="0"/>
    <xf numFmtId="40" fontId="37" fillId="0" borderId="0" applyFill="0" applyBorder="0" applyProtection="0"/>
    <xf numFmtId="172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0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1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2" fontId="36" fillId="0" borderId="0" applyFill="0" applyBorder="0" applyProtection="0"/>
    <xf numFmtId="0" fontId="36" fillId="0" borderId="0" applyNumberFormat="0" applyFill="0" applyBorder="0" applyProtection="0"/>
    <xf numFmtId="173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5" fillId="7" borderId="9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0" fillId="0" borderId="0" applyNumberFormat="0" applyFill="0" applyBorder="0" applyAlignment="0" applyProtection="0"/>
  </cellStyleXfs>
  <cellXfs count="115">
    <xf numFmtId="0" fontId="0" fillId="0" borderId="0" xfId="0"/>
    <xf numFmtId="49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4" xfId="28" applyFont="1" applyFill="1" applyBorder="1"/>
    <xf numFmtId="0" fontId="3" fillId="0" borderId="24" xfId="28" applyFont="1" applyFill="1" applyBorder="1" applyAlignment="1">
      <alignment horizontal="center"/>
    </xf>
    <xf numFmtId="16" fontId="3" fillId="0" borderId="24" xfId="28" applyNumberFormat="1" applyFont="1" applyFill="1" applyBorder="1" applyAlignment="1">
      <alignment horizontal="center"/>
    </xf>
    <xf numFmtId="2" fontId="3" fillId="0" borderId="0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4" xfId="28" applyFont="1" applyFill="1" applyBorder="1"/>
    <xf numFmtId="0" fontId="22" fillId="0" borderId="0" xfId="28" applyFont="1" applyFill="1"/>
    <xf numFmtId="0" fontId="22" fillId="0" borderId="0" xfId="28" applyFont="1" applyFill="1" applyAlignment="1">
      <alignment horizontal="center"/>
    </xf>
    <xf numFmtId="44" fontId="22" fillId="0" borderId="0" xfId="30" applyFont="1" applyFill="1" applyAlignment="1">
      <alignment horizontal="center"/>
    </xf>
    <xf numFmtId="0" fontId="22" fillId="0" borderId="24" xfId="28" applyFont="1" applyFill="1" applyBorder="1" applyAlignment="1">
      <alignment horizontal="center"/>
    </xf>
    <xf numFmtId="0" fontId="24" fillId="0" borderId="0" xfId="28" applyFont="1" applyFill="1"/>
    <xf numFmtId="2" fontId="24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horizontal="center" wrapText="1"/>
    </xf>
    <xf numFmtId="0" fontId="3" fillId="0" borderId="0" xfId="28" applyFont="1" applyFill="1"/>
    <xf numFmtId="2" fontId="3" fillId="0" borderId="0" xfId="28" applyNumberFormat="1" applyFont="1" applyFill="1" applyAlignment="1">
      <alignment horizontal="center"/>
    </xf>
    <xf numFmtId="0" fontId="25" fillId="0" borderId="0" xfId="28" applyFont="1" applyFill="1" applyBorder="1"/>
    <xf numFmtId="0" fontId="24" fillId="0" borderId="24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4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2" fontId="22" fillId="2" borderId="24" xfId="28" applyNumberFormat="1" applyFont="1" applyFill="1" applyBorder="1" applyAlignment="1">
      <alignment horizontal="center"/>
    </xf>
    <xf numFmtId="1" fontId="22" fillId="2" borderId="24" xfId="28" applyNumberFormat="1" applyFont="1" applyFill="1" applyBorder="1" applyAlignment="1">
      <alignment horizontal="center"/>
    </xf>
    <xf numFmtId="167" fontId="22" fillId="2" borderId="24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1" fillId="0" borderId="0" xfId="2" applyFont="1" applyBorder="1"/>
    <xf numFmtId="0" fontId="3" fillId="0" borderId="0" xfId="2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5" fontId="3" fillId="2" borderId="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0" fontId="22" fillId="0" borderId="0" xfId="2" applyFont="1" applyBorder="1"/>
    <xf numFmtId="0" fontId="22" fillId="0" borderId="0" xfId="2" applyFont="1"/>
    <xf numFmtId="0" fontId="25" fillId="0" borderId="0" xfId="2" applyFont="1" applyFill="1" applyBorder="1"/>
    <xf numFmtId="165" fontId="3" fillId="2" borderId="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25" fillId="0" borderId="0" xfId="2" applyFont="1" applyBorder="1"/>
    <xf numFmtId="0" fontId="62" fillId="0" borderId="0" xfId="0" applyFont="1"/>
    <xf numFmtId="0" fontId="63" fillId="0" borderId="0" xfId="0" applyFont="1"/>
    <xf numFmtId="0" fontId="63" fillId="61" borderId="0" xfId="0" applyFont="1" applyFill="1"/>
    <xf numFmtId="0" fontId="22" fillId="0" borderId="0" xfId="29" applyFont="1" applyFill="1"/>
    <xf numFmtId="164" fontId="3" fillId="0" borderId="0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0" fontId="3" fillId="60" borderId="0" xfId="0" applyNumberFormat="1" applyFont="1" applyFill="1" applyAlignment="1" applyProtection="1"/>
    <xf numFmtId="41" fontId="22" fillId="60" borderId="0" xfId="0" applyNumberFormat="1" applyFont="1" applyFill="1" applyBorder="1" applyAlignment="1" applyProtection="1">
      <alignment horizontal="center"/>
    </xf>
    <xf numFmtId="41" fontId="22" fillId="60" borderId="0" xfId="0" applyNumberFormat="1" applyFont="1" applyFill="1" applyBorder="1" applyAlignment="1" applyProtection="1"/>
    <xf numFmtId="0" fontId="22" fillId="60" borderId="13" xfId="0" applyNumberFormat="1" applyFont="1" applyFill="1" applyBorder="1" applyAlignment="1" applyProtection="1">
      <alignment horizontal="center" wrapText="1"/>
    </xf>
    <xf numFmtId="0" fontId="22" fillId="60" borderId="0" xfId="0" applyNumberFormat="1" applyFont="1" applyFill="1" applyAlignment="1" applyProtection="1">
      <alignment horizontal="center" wrapText="1"/>
    </xf>
    <xf numFmtId="0" fontId="64" fillId="60" borderId="0" xfId="0" applyNumberFormat="1" applyFont="1" applyFill="1" applyAlignment="1" applyProtection="1">
      <alignment horizontal="center" wrapText="1"/>
    </xf>
    <xf numFmtId="0" fontId="22" fillId="60" borderId="0" xfId="0" applyNumberFormat="1" applyFont="1" applyFill="1" applyBorder="1" applyAlignment="1" applyProtection="1">
      <alignment horizontal="center" wrapText="1"/>
    </xf>
    <xf numFmtId="0" fontId="64" fillId="60" borderId="0" xfId="0" applyNumberFormat="1" applyFont="1" applyFill="1" applyAlignment="1" applyProtection="1">
      <alignment wrapText="1"/>
    </xf>
    <xf numFmtId="41" fontId="22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>
      <alignment wrapText="1"/>
    </xf>
    <xf numFmtId="0" fontId="3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>
      <alignment horizontal="left"/>
    </xf>
    <xf numFmtId="0" fontId="22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/>
    <xf numFmtId="0" fontId="3" fillId="60" borderId="0" xfId="0" applyNumberFormat="1" applyFont="1" applyFill="1" applyAlignment="1" applyProtection="1">
      <alignment horizontal="left" indent="1"/>
    </xf>
    <xf numFmtId="0" fontId="22" fillId="60" borderId="0" xfId="0" applyNumberFormat="1" applyFont="1" applyFill="1" applyBorder="1" applyAlignment="1" applyProtection="1">
      <alignment horizontal="left"/>
    </xf>
    <xf numFmtId="165" fontId="3" fillId="2" borderId="24" xfId="1" applyNumberFormat="1" applyFont="1" applyFill="1" applyBorder="1"/>
    <xf numFmtId="165" fontId="3" fillId="2" borderId="24" xfId="1" applyNumberFormat="1" applyFont="1" applyFill="1" applyBorder="1" applyAlignment="1">
      <alignment horizontal="center"/>
    </xf>
    <xf numFmtId="0" fontId="3" fillId="0" borderId="2" xfId="2" applyFont="1" applyFill="1" applyBorder="1"/>
    <xf numFmtId="165" fontId="3" fillId="0" borderId="27" xfId="1" applyNumberFormat="1" applyFont="1" applyBorder="1"/>
    <xf numFmtId="165" fontId="3" fillId="0" borderId="2" xfId="1" applyNumberFormat="1" applyFont="1" applyBorder="1"/>
    <xf numFmtId="165" fontId="3" fillId="0" borderId="2" xfId="1" applyNumberFormat="1" applyFont="1" applyFill="1" applyBorder="1" applyAlignment="1">
      <alignment horizontal="center"/>
    </xf>
    <xf numFmtId="0" fontId="68" fillId="62" borderId="0" xfId="0" applyFont="1" applyFill="1" applyAlignment="1">
      <alignment horizontal="left" vertical="center"/>
    </xf>
    <xf numFmtId="0" fontId="70" fillId="61" borderId="0" xfId="980" applyFill="1"/>
    <xf numFmtId="0" fontId="63" fillId="61" borderId="0" xfId="0" applyFont="1" applyFill="1" applyAlignment="1">
      <alignment horizontal="left"/>
    </xf>
    <xf numFmtId="165" fontId="22" fillId="0" borderId="24" xfId="1" applyNumberFormat="1" applyFont="1" applyFill="1" applyBorder="1" applyAlignment="1">
      <alignment horizontal="center"/>
    </xf>
    <xf numFmtId="165" fontId="22" fillId="2" borderId="24" xfId="1" applyNumberFormat="1" applyFont="1" applyFill="1" applyBorder="1" applyAlignment="1">
      <alignment horizontal="center"/>
    </xf>
    <xf numFmtId="165" fontId="22" fillId="0" borderId="3" xfId="1" applyNumberFormat="1" applyFont="1" applyFill="1" applyBorder="1"/>
    <xf numFmtId="165" fontId="61" fillId="0" borderId="0" xfId="1" applyNumberFormat="1" applyFont="1" applyBorder="1"/>
    <xf numFmtId="165" fontId="3" fillId="0" borderId="0" xfId="1" applyNumberFormat="1" applyFont="1"/>
    <xf numFmtId="165" fontId="22" fillId="0" borderId="0" xfId="1" applyNumberFormat="1" applyFont="1" applyFill="1" applyBorder="1"/>
    <xf numFmtId="165" fontId="22" fillId="0" borderId="0" xfId="1" applyNumberFormat="1" applyFont="1" applyBorder="1"/>
    <xf numFmtId="165" fontId="22" fillId="0" borderId="1" xfId="1" applyNumberFormat="1" applyFont="1" applyBorder="1"/>
    <xf numFmtId="165" fontId="22" fillId="0" borderId="2" xfId="1" applyNumberFormat="1" applyFont="1" applyFill="1" applyBorder="1"/>
    <xf numFmtId="165" fontId="3" fillId="0" borderId="0" xfId="1" applyNumberFormat="1" applyFont="1" applyFill="1"/>
    <xf numFmtId="165" fontId="22" fillId="0" borderId="28" xfId="1" applyNumberFormat="1" applyFont="1" applyFill="1" applyBorder="1"/>
    <xf numFmtId="165" fontId="3" fillId="0" borderId="28" xfId="1" applyNumberFormat="1" applyFont="1" applyBorder="1"/>
    <xf numFmtId="0" fontId="3" fillId="0" borderId="0" xfId="2" applyFont="1" applyAlignment="1">
      <alignment horizontal="center"/>
    </xf>
    <xf numFmtId="165" fontId="61" fillId="0" borderId="2" xfId="1" applyNumberFormat="1" applyFont="1" applyBorder="1"/>
    <xf numFmtId="165" fontId="3" fillId="60" borderId="0" xfId="1" applyNumberFormat="1" applyFont="1" applyFill="1" applyAlignment="1" applyProtection="1">
      <alignment wrapText="1"/>
    </xf>
    <xf numFmtId="165" fontId="3" fillId="60" borderId="0" xfId="1" applyNumberFormat="1" applyFont="1" applyFill="1" applyAlignment="1" applyProtection="1"/>
    <xf numFmtId="165" fontId="22" fillId="60" borderId="23" xfId="1" applyNumberFormat="1" applyFont="1" applyFill="1" applyBorder="1" applyAlignment="1" applyProtection="1"/>
    <xf numFmtId="165" fontId="3" fillId="60" borderId="0" xfId="1" applyNumberFormat="1" applyFont="1" applyFill="1" applyBorder="1" applyAlignment="1" applyProtection="1">
      <alignment wrapText="1"/>
    </xf>
    <xf numFmtId="165" fontId="65" fillId="60" borderId="0" xfId="1" applyNumberFormat="1" applyFont="1" applyFill="1" applyBorder="1" applyAlignment="1" applyProtection="1">
      <alignment wrapText="1"/>
    </xf>
    <xf numFmtId="165" fontId="65" fillId="60" borderId="0" xfId="1" applyNumberFormat="1" applyFont="1" applyFill="1" applyAlignment="1" applyProtection="1">
      <alignment wrapText="1"/>
    </xf>
    <xf numFmtId="165" fontId="22" fillId="60" borderId="23" xfId="1" applyNumberFormat="1" applyFont="1" applyFill="1" applyBorder="1" applyAlignment="1" applyProtection="1">
      <alignment wrapText="1"/>
    </xf>
    <xf numFmtId="165" fontId="63" fillId="0" borderId="0" xfId="1" applyNumberFormat="1" applyFont="1"/>
    <xf numFmtId="0" fontId="22" fillId="0" borderId="24" xfId="28" applyFont="1" applyFill="1" applyBorder="1" applyAlignment="1">
      <alignment horizontal="center" wrapText="1"/>
    </xf>
    <xf numFmtId="0" fontId="22" fillId="0" borderId="25" xfId="28" applyFont="1" applyFill="1" applyBorder="1" applyAlignment="1">
      <alignment horizontal="center" wrapText="1"/>
    </xf>
    <xf numFmtId="0" fontId="22" fillId="0" borderId="26" xfId="28" applyFont="1" applyFill="1" applyBorder="1" applyAlignment="1">
      <alignment horizontal="center" wrapText="1"/>
    </xf>
    <xf numFmtId="0" fontId="3" fillId="60" borderId="0" xfId="0" applyNumberFormat="1" applyFont="1" applyFill="1" applyAlignment="1" applyProtection="1">
      <alignment horizontal="center"/>
    </xf>
  </cellXfs>
  <cellStyles count="981">
    <cellStyle name="20% - Accent1 2" xfId="32" xr:uid="{00000000-0005-0000-0000-000000000000}"/>
    <cellStyle name="20% - Accent1 2 2" xfId="33" xr:uid="{00000000-0005-0000-0000-000001000000}"/>
    <cellStyle name="20% - Accent1 2 3" xfId="34" xr:uid="{00000000-0005-0000-0000-000002000000}"/>
    <cellStyle name="20% - Accent1 2 4" xfId="35" xr:uid="{00000000-0005-0000-0000-000003000000}"/>
    <cellStyle name="20% - Accent1 2 5" xfId="36" xr:uid="{00000000-0005-0000-0000-000004000000}"/>
    <cellStyle name="20% - Accent1 3" xfId="37" xr:uid="{00000000-0005-0000-0000-000005000000}"/>
    <cellStyle name="20% - Accent1 4" xfId="38" xr:uid="{00000000-0005-0000-0000-000006000000}"/>
    <cellStyle name="20% - Accent1 5" xfId="39" xr:uid="{00000000-0005-0000-0000-000007000000}"/>
    <cellStyle name="20% - Accent2 2" xfId="40" xr:uid="{00000000-0005-0000-0000-000008000000}"/>
    <cellStyle name="20% - Accent2 2 2" xfId="41" xr:uid="{00000000-0005-0000-0000-000009000000}"/>
    <cellStyle name="20% - Accent2 2 3" xfId="42" xr:uid="{00000000-0005-0000-0000-00000A000000}"/>
    <cellStyle name="20% - Accent2 2 4" xfId="43" xr:uid="{00000000-0005-0000-0000-00000B000000}"/>
    <cellStyle name="20% - Accent2 2 5" xfId="44" xr:uid="{00000000-0005-0000-0000-00000C000000}"/>
    <cellStyle name="20% - Accent2 3" xfId="45" xr:uid="{00000000-0005-0000-0000-00000D000000}"/>
    <cellStyle name="20% - Accent2 4" xfId="46" xr:uid="{00000000-0005-0000-0000-00000E000000}"/>
    <cellStyle name="20% - Accent2 5" xfId="47" xr:uid="{00000000-0005-0000-0000-00000F000000}"/>
    <cellStyle name="20% - Accent3 2" xfId="48" xr:uid="{00000000-0005-0000-0000-000010000000}"/>
    <cellStyle name="20% - Accent3 2 2" xfId="49" xr:uid="{00000000-0005-0000-0000-000011000000}"/>
    <cellStyle name="20% - Accent3 2 3" xfId="50" xr:uid="{00000000-0005-0000-0000-000012000000}"/>
    <cellStyle name="20% - Accent3 2 4" xfId="51" xr:uid="{00000000-0005-0000-0000-000013000000}"/>
    <cellStyle name="20% - Accent3 2 5" xfId="52" xr:uid="{00000000-0005-0000-0000-000014000000}"/>
    <cellStyle name="20% - Accent3 3" xfId="53" xr:uid="{00000000-0005-0000-0000-000015000000}"/>
    <cellStyle name="20% - Accent3 4" xfId="54" xr:uid="{00000000-0005-0000-0000-000016000000}"/>
    <cellStyle name="20% - Accent3 5" xfId="55" xr:uid="{00000000-0005-0000-0000-000017000000}"/>
    <cellStyle name="20% - Accent4 2" xfId="56" xr:uid="{00000000-0005-0000-0000-000018000000}"/>
    <cellStyle name="20% - Accent4 2 2" xfId="57" xr:uid="{00000000-0005-0000-0000-000019000000}"/>
    <cellStyle name="20% - Accent4 2 3" xfId="58" xr:uid="{00000000-0005-0000-0000-00001A000000}"/>
    <cellStyle name="20% - Accent4 2 4" xfId="59" xr:uid="{00000000-0005-0000-0000-00001B000000}"/>
    <cellStyle name="20% - Accent4 2 5" xfId="60" xr:uid="{00000000-0005-0000-0000-00001C000000}"/>
    <cellStyle name="20% - Accent4 3" xfId="61" xr:uid="{00000000-0005-0000-0000-00001D000000}"/>
    <cellStyle name="20% - Accent4 4" xfId="62" xr:uid="{00000000-0005-0000-0000-00001E000000}"/>
    <cellStyle name="20% - Accent4 5" xfId="63" xr:uid="{00000000-0005-0000-0000-00001F000000}"/>
    <cellStyle name="20% - Accent5 2" xfId="64" xr:uid="{00000000-0005-0000-0000-000020000000}"/>
    <cellStyle name="20% - Accent5 2 2" xfId="65" xr:uid="{00000000-0005-0000-0000-000021000000}"/>
    <cellStyle name="20% - Accent5 2 3" xfId="66" xr:uid="{00000000-0005-0000-0000-000022000000}"/>
    <cellStyle name="20% - Accent5 2 4" xfId="67" xr:uid="{00000000-0005-0000-0000-000023000000}"/>
    <cellStyle name="20% - Accent5 2 5" xfId="68" xr:uid="{00000000-0005-0000-0000-000024000000}"/>
    <cellStyle name="20% - Accent5 3" xfId="69" xr:uid="{00000000-0005-0000-0000-000025000000}"/>
    <cellStyle name="20% - Accent5 4" xfId="70" xr:uid="{00000000-0005-0000-0000-000026000000}"/>
    <cellStyle name="20% - Accent5 5" xfId="71" xr:uid="{00000000-0005-0000-0000-000027000000}"/>
    <cellStyle name="20% - Accent6 2" xfId="72" xr:uid="{00000000-0005-0000-0000-000028000000}"/>
    <cellStyle name="20% - Accent6 2 2" xfId="73" xr:uid="{00000000-0005-0000-0000-000029000000}"/>
    <cellStyle name="20% - Accent6 2 3" xfId="74" xr:uid="{00000000-0005-0000-0000-00002A000000}"/>
    <cellStyle name="20% - Accent6 2 4" xfId="75" xr:uid="{00000000-0005-0000-0000-00002B000000}"/>
    <cellStyle name="20% - Accent6 2 5" xfId="76" xr:uid="{00000000-0005-0000-0000-00002C000000}"/>
    <cellStyle name="20% - Accent6 3" xfId="77" xr:uid="{00000000-0005-0000-0000-00002D000000}"/>
    <cellStyle name="20% - Accent6 4" xfId="78" xr:uid="{00000000-0005-0000-0000-00002E000000}"/>
    <cellStyle name="20% - Accent6 5" xfId="79" xr:uid="{00000000-0005-0000-0000-00002F000000}"/>
    <cellStyle name="40% - Accent1 2" xfId="80" xr:uid="{00000000-0005-0000-0000-000030000000}"/>
    <cellStyle name="40% - Accent1 2 2" xfId="81" xr:uid="{00000000-0005-0000-0000-000031000000}"/>
    <cellStyle name="40% - Accent1 2 3" xfId="82" xr:uid="{00000000-0005-0000-0000-000032000000}"/>
    <cellStyle name="40% - Accent1 2 4" xfId="83" xr:uid="{00000000-0005-0000-0000-000033000000}"/>
    <cellStyle name="40% - Accent1 2 5" xfId="84" xr:uid="{00000000-0005-0000-0000-000034000000}"/>
    <cellStyle name="40% - Accent1 3" xfId="85" xr:uid="{00000000-0005-0000-0000-000035000000}"/>
    <cellStyle name="40% - Accent1 4" xfId="86" xr:uid="{00000000-0005-0000-0000-000036000000}"/>
    <cellStyle name="40% - Accent1 5" xfId="87" xr:uid="{00000000-0005-0000-0000-000037000000}"/>
    <cellStyle name="40% - Accent2 2" xfId="88" xr:uid="{00000000-0005-0000-0000-000038000000}"/>
    <cellStyle name="40% - Accent2 2 2" xfId="89" xr:uid="{00000000-0005-0000-0000-000039000000}"/>
    <cellStyle name="40% - Accent2 2 3" xfId="90" xr:uid="{00000000-0005-0000-0000-00003A000000}"/>
    <cellStyle name="40% - Accent2 2 4" xfId="91" xr:uid="{00000000-0005-0000-0000-00003B000000}"/>
    <cellStyle name="40% - Accent2 2 5" xfId="92" xr:uid="{00000000-0005-0000-0000-00003C000000}"/>
    <cellStyle name="40% - Accent2 3" xfId="93" xr:uid="{00000000-0005-0000-0000-00003D000000}"/>
    <cellStyle name="40% - Accent2 4" xfId="94" xr:uid="{00000000-0005-0000-0000-00003E000000}"/>
    <cellStyle name="40% - Accent2 5" xfId="95" xr:uid="{00000000-0005-0000-0000-00003F000000}"/>
    <cellStyle name="40% - Accent3 2" xfId="96" xr:uid="{00000000-0005-0000-0000-000040000000}"/>
    <cellStyle name="40% - Accent3 2 2" xfId="97" xr:uid="{00000000-0005-0000-0000-000041000000}"/>
    <cellStyle name="40% - Accent3 2 3" xfId="98" xr:uid="{00000000-0005-0000-0000-000042000000}"/>
    <cellStyle name="40% - Accent3 2 4" xfId="99" xr:uid="{00000000-0005-0000-0000-000043000000}"/>
    <cellStyle name="40% - Accent3 2 5" xfId="100" xr:uid="{00000000-0005-0000-0000-000044000000}"/>
    <cellStyle name="40% - Accent3 3" xfId="101" xr:uid="{00000000-0005-0000-0000-000045000000}"/>
    <cellStyle name="40% - Accent3 4" xfId="102" xr:uid="{00000000-0005-0000-0000-000046000000}"/>
    <cellStyle name="40% - Accent3 5" xfId="103" xr:uid="{00000000-0005-0000-0000-000047000000}"/>
    <cellStyle name="40% - Accent4 2" xfId="104" xr:uid="{00000000-0005-0000-0000-000048000000}"/>
    <cellStyle name="40% - Accent4 2 2" xfId="105" xr:uid="{00000000-0005-0000-0000-000049000000}"/>
    <cellStyle name="40% - Accent4 2 3" xfId="106" xr:uid="{00000000-0005-0000-0000-00004A000000}"/>
    <cellStyle name="40% - Accent4 2 4" xfId="107" xr:uid="{00000000-0005-0000-0000-00004B000000}"/>
    <cellStyle name="40% - Accent4 2 5" xfId="108" xr:uid="{00000000-0005-0000-0000-00004C000000}"/>
    <cellStyle name="40% - Accent4 3" xfId="109" xr:uid="{00000000-0005-0000-0000-00004D000000}"/>
    <cellStyle name="40% - Accent4 4" xfId="110" xr:uid="{00000000-0005-0000-0000-00004E000000}"/>
    <cellStyle name="40% - Accent4 5" xfId="111" xr:uid="{00000000-0005-0000-0000-00004F000000}"/>
    <cellStyle name="40% - Accent5 2" xfId="112" xr:uid="{00000000-0005-0000-0000-000050000000}"/>
    <cellStyle name="40% - Accent5 2 2" xfId="113" xr:uid="{00000000-0005-0000-0000-000051000000}"/>
    <cellStyle name="40% - Accent5 2 3" xfId="114" xr:uid="{00000000-0005-0000-0000-000052000000}"/>
    <cellStyle name="40% - Accent5 2 4" xfId="115" xr:uid="{00000000-0005-0000-0000-000053000000}"/>
    <cellStyle name="40% - Accent5 2 5" xfId="116" xr:uid="{00000000-0005-0000-0000-000054000000}"/>
    <cellStyle name="40% - Accent5 3" xfId="117" xr:uid="{00000000-0005-0000-0000-000055000000}"/>
    <cellStyle name="40% - Accent5 4" xfId="118" xr:uid="{00000000-0005-0000-0000-000056000000}"/>
    <cellStyle name="40% - Accent5 5" xfId="119" xr:uid="{00000000-0005-0000-0000-000057000000}"/>
    <cellStyle name="40% - Accent6 2" xfId="120" xr:uid="{00000000-0005-0000-0000-000058000000}"/>
    <cellStyle name="40% - Accent6 2 2" xfId="121" xr:uid="{00000000-0005-0000-0000-000059000000}"/>
    <cellStyle name="40% - Accent6 2 3" xfId="122" xr:uid="{00000000-0005-0000-0000-00005A000000}"/>
    <cellStyle name="40% - Accent6 2 4" xfId="123" xr:uid="{00000000-0005-0000-0000-00005B000000}"/>
    <cellStyle name="40% - Accent6 2 5" xfId="124" xr:uid="{00000000-0005-0000-0000-00005C000000}"/>
    <cellStyle name="40% - Accent6 3" xfId="125" xr:uid="{00000000-0005-0000-0000-00005D000000}"/>
    <cellStyle name="40% - Accent6 4" xfId="126" xr:uid="{00000000-0005-0000-0000-00005E000000}"/>
    <cellStyle name="40% - Accent6 5" xfId="127" xr:uid="{00000000-0005-0000-0000-00005F000000}"/>
    <cellStyle name="60% - Accent1 2" xfId="128" xr:uid="{00000000-0005-0000-0000-000060000000}"/>
    <cellStyle name="60% - Accent1 2 2" xfId="129" xr:uid="{00000000-0005-0000-0000-000061000000}"/>
    <cellStyle name="60% - Accent1 3" xfId="130" xr:uid="{00000000-0005-0000-0000-000062000000}"/>
    <cellStyle name="60% - Accent1 4" xfId="131" xr:uid="{00000000-0005-0000-0000-000063000000}"/>
    <cellStyle name="60% - Accent2 2" xfId="132" xr:uid="{00000000-0005-0000-0000-000064000000}"/>
    <cellStyle name="60% - Accent2 2 2" xfId="133" xr:uid="{00000000-0005-0000-0000-000065000000}"/>
    <cellStyle name="60% - Accent2 3" xfId="134" xr:uid="{00000000-0005-0000-0000-000066000000}"/>
    <cellStyle name="60% - Accent2 4" xfId="135" xr:uid="{00000000-0005-0000-0000-000067000000}"/>
    <cellStyle name="60% - Accent3 2" xfId="136" xr:uid="{00000000-0005-0000-0000-000068000000}"/>
    <cellStyle name="60% - Accent3 2 2" xfId="137" xr:uid="{00000000-0005-0000-0000-000069000000}"/>
    <cellStyle name="60% - Accent3 3" xfId="138" xr:uid="{00000000-0005-0000-0000-00006A000000}"/>
    <cellStyle name="60% - Accent3 4" xfId="139" xr:uid="{00000000-0005-0000-0000-00006B000000}"/>
    <cellStyle name="60% - Accent4 2" xfId="140" xr:uid="{00000000-0005-0000-0000-00006C000000}"/>
    <cellStyle name="60% - Accent4 2 2" xfId="141" xr:uid="{00000000-0005-0000-0000-00006D000000}"/>
    <cellStyle name="60% - Accent4 3" xfId="142" xr:uid="{00000000-0005-0000-0000-00006E000000}"/>
    <cellStyle name="60% - Accent4 4" xfId="143" xr:uid="{00000000-0005-0000-0000-00006F000000}"/>
    <cellStyle name="60% - Accent5 2" xfId="144" xr:uid="{00000000-0005-0000-0000-000070000000}"/>
    <cellStyle name="60% - Accent5 2 2" xfId="145" xr:uid="{00000000-0005-0000-0000-000071000000}"/>
    <cellStyle name="60% - Accent5 3" xfId="146" xr:uid="{00000000-0005-0000-0000-000072000000}"/>
    <cellStyle name="60% - Accent5 4" xfId="147" xr:uid="{00000000-0005-0000-0000-000073000000}"/>
    <cellStyle name="60% - Accent6 2" xfId="148" xr:uid="{00000000-0005-0000-0000-000074000000}"/>
    <cellStyle name="60% - Accent6 2 2" xfId="149" xr:uid="{00000000-0005-0000-0000-000075000000}"/>
    <cellStyle name="60% - Accent6 3" xfId="150" xr:uid="{00000000-0005-0000-0000-000076000000}"/>
    <cellStyle name="60% - Accent6 4" xfId="151" xr:uid="{00000000-0005-0000-0000-000077000000}"/>
    <cellStyle name="Accent1 2" xfId="152" xr:uid="{00000000-0005-0000-0000-000078000000}"/>
    <cellStyle name="Accent1 2 2" xfId="153" xr:uid="{00000000-0005-0000-0000-000079000000}"/>
    <cellStyle name="Accent1 3" xfId="154" xr:uid="{00000000-0005-0000-0000-00007A000000}"/>
    <cellStyle name="Accent1 4" xfId="155" xr:uid="{00000000-0005-0000-0000-00007B000000}"/>
    <cellStyle name="Accent2 2" xfId="156" xr:uid="{00000000-0005-0000-0000-00007C000000}"/>
    <cellStyle name="Accent2 2 2" xfId="157" xr:uid="{00000000-0005-0000-0000-00007D000000}"/>
    <cellStyle name="Accent2 3" xfId="158" xr:uid="{00000000-0005-0000-0000-00007E000000}"/>
    <cellStyle name="Accent2 4" xfId="159" xr:uid="{00000000-0005-0000-0000-00007F000000}"/>
    <cellStyle name="Accent3 2" xfId="160" xr:uid="{00000000-0005-0000-0000-000080000000}"/>
    <cellStyle name="Accent3 2 2" xfId="161" xr:uid="{00000000-0005-0000-0000-000081000000}"/>
    <cellStyle name="Accent3 3" xfId="162" xr:uid="{00000000-0005-0000-0000-000082000000}"/>
    <cellStyle name="Accent3 4" xfId="163" xr:uid="{00000000-0005-0000-0000-000083000000}"/>
    <cellStyle name="Accent4 2" xfId="164" xr:uid="{00000000-0005-0000-0000-000084000000}"/>
    <cellStyle name="Accent4 2 2" xfId="165" xr:uid="{00000000-0005-0000-0000-000085000000}"/>
    <cellStyle name="Accent4 3" xfId="166" xr:uid="{00000000-0005-0000-0000-000086000000}"/>
    <cellStyle name="Accent4 4" xfId="167" xr:uid="{00000000-0005-0000-0000-000087000000}"/>
    <cellStyle name="Accent5 2" xfId="168" xr:uid="{00000000-0005-0000-0000-000088000000}"/>
    <cellStyle name="Accent5 2 2" xfId="169" xr:uid="{00000000-0005-0000-0000-000089000000}"/>
    <cellStyle name="Accent5 3" xfId="170" xr:uid="{00000000-0005-0000-0000-00008A000000}"/>
    <cellStyle name="Accent5 4" xfId="171" xr:uid="{00000000-0005-0000-0000-00008B000000}"/>
    <cellStyle name="Accent6 2" xfId="172" xr:uid="{00000000-0005-0000-0000-00008C000000}"/>
    <cellStyle name="Accent6 2 2" xfId="173" xr:uid="{00000000-0005-0000-0000-00008D000000}"/>
    <cellStyle name="Accent6 3" xfId="174" xr:uid="{00000000-0005-0000-0000-00008E000000}"/>
    <cellStyle name="Accent6 4" xfId="175" xr:uid="{00000000-0005-0000-0000-00008F000000}"/>
    <cellStyle name="Bad 2" xfId="176" xr:uid="{00000000-0005-0000-0000-000090000000}"/>
    <cellStyle name="Bad 2 2" xfId="177" xr:uid="{00000000-0005-0000-0000-000091000000}"/>
    <cellStyle name="Bad 3" xfId="178" xr:uid="{00000000-0005-0000-0000-000092000000}"/>
    <cellStyle name="Bad 4" xfId="179" xr:uid="{00000000-0005-0000-0000-000093000000}"/>
    <cellStyle name="Calculation 2" xfId="180" xr:uid="{00000000-0005-0000-0000-000094000000}"/>
    <cellStyle name="Calculation 2 2" xfId="181" xr:uid="{00000000-0005-0000-0000-000095000000}"/>
    <cellStyle name="Calculation 3" xfId="182" xr:uid="{00000000-0005-0000-0000-000096000000}"/>
    <cellStyle name="Calculation 3 10" xfId="183" xr:uid="{00000000-0005-0000-0000-000097000000}"/>
    <cellStyle name="Calculation 3 10 2" xfId="184" xr:uid="{00000000-0005-0000-0000-000098000000}"/>
    <cellStyle name="Calculation 3 11" xfId="185" xr:uid="{00000000-0005-0000-0000-000099000000}"/>
    <cellStyle name="Calculation 3 2" xfId="186" xr:uid="{00000000-0005-0000-0000-00009A000000}"/>
    <cellStyle name="Calculation 3 2 10" xfId="187" xr:uid="{00000000-0005-0000-0000-00009B000000}"/>
    <cellStyle name="Calculation 3 2 2" xfId="188" xr:uid="{00000000-0005-0000-0000-00009C000000}"/>
    <cellStyle name="Calculation 3 2 2 2" xfId="189" xr:uid="{00000000-0005-0000-0000-00009D000000}"/>
    <cellStyle name="Calculation 3 2 2 2 2" xfId="190" xr:uid="{00000000-0005-0000-0000-00009E000000}"/>
    <cellStyle name="Calculation 3 2 2 3" xfId="191" xr:uid="{00000000-0005-0000-0000-00009F000000}"/>
    <cellStyle name="Calculation 3 2 3" xfId="192" xr:uid="{00000000-0005-0000-0000-0000A0000000}"/>
    <cellStyle name="Calculation 3 2 3 2" xfId="193" xr:uid="{00000000-0005-0000-0000-0000A1000000}"/>
    <cellStyle name="Calculation 3 2 3 2 2" xfId="194" xr:uid="{00000000-0005-0000-0000-0000A2000000}"/>
    <cellStyle name="Calculation 3 2 3 3" xfId="195" xr:uid="{00000000-0005-0000-0000-0000A3000000}"/>
    <cellStyle name="Calculation 3 2 4" xfId="196" xr:uid="{00000000-0005-0000-0000-0000A4000000}"/>
    <cellStyle name="Calculation 3 2 4 2" xfId="197" xr:uid="{00000000-0005-0000-0000-0000A5000000}"/>
    <cellStyle name="Calculation 3 2 4 2 2" xfId="198" xr:uid="{00000000-0005-0000-0000-0000A6000000}"/>
    <cellStyle name="Calculation 3 2 4 3" xfId="199" xr:uid="{00000000-0005-0000-0000-0000A7000000}"/>
    <cellStyle name="Calculation 3 2 5" xfId="200" xr:uid="{00000000-0005-0000-0000-0000A8000000}"/>
    <cellStyle name="Calculation 3 2 5 2" xfId="201" xr:uid="{00000000-0005-0000-0000-0000A9000000}"/>
    <cellStyle name="Calculation 3 2 5 2 2" xfId="202" xr:uid="{00000000-0005-0000-0000-0000AA000000}"/>
    <cellStyle name="Calculation 3 2 5 3" xfId="203" xr:uid="{00000000-0005-0000-0000-0000AB000000}"/>
    <cellStyle name="Calculation 3 2 6" xfId="204" xr:uid="{00000000-0005-0000-0000-0000AC000000}"/>
    <cellStyle name="Calculation 3 2 6 2" xfId="205" xr:uid="{00000000-0005-0000-0000-0000AD000000}"/>
    <cellStyle name="Calculation 3 2 6 2 2" xfId="206" xr:uid="{00000000-0005-0000-0000-0000AE000000}"/>
    <cellStyle name="Calculation 3 2 6 3" xfId="207" xr:uid="{00000000-0005-0000-0000-0000AF000000}"/>
    <cellStyle name="Calculation 3 2 7" xfId="208" xr:uid="{00000000-0005-0000-0000-0000B0000000}"/>
    <cellStyle name="Calculation 3 2 7 2" xfId="209" xr:uid="{00000000-0005-0000-0000-0000B1000000}"/>
    <cellStyle name="Calculation 3 2 7 2 2" xfId="210" xr:uid="{00000000-0005-0000-0000-0000B2000000}"/>
    <cellStyle name="Calculation 3 2 7 3" xfId="211" xr:uid="{00000000-0005-0000-0000-0000B3000000}"/>
    <cellStyle name="Calculation 3 2 8" xfId="212" xr:uid="{00000000-0005-0000-0000-0000B4000000}"/>
    <cellStyle name="Calculation 3 2 8 2" xfId="213" xr:uid="{00000000-0005-0000-0000-0000B5000000}"/>
    <cellStyle name="Calculation 3 2 8 2 2" xfId="214" xr:uid="{00000000-0005-0000-0000-0000B6000000}"/>
    <cellStyle name="Calculation 3 2 8 3" xfId="215" xr:uid="{00000000-0005-0000-0000-0000B7000000}"/>
    <cellStyle name="Calculation 3 2 9" xfId="216" xr:uid="{00000000-0005-0000-0000-0000B8000000}"/>
    <cellStyle name="Calculation 3 2 9 2" xfId="217" xr:uid="{00000000-0005-0000-0000-0000B9000000}"/>
    <cellStyle name="Calculation 3 3" xfId="218" xr:uid="{00000000-0005-0000-0000-0000BA000000}"/>
    <cellStyle name="Calculation 3 3 2" xfId="219" xr:uid="{00000000-0005-0000-0000-0000BB000000}"/>
    <cellStyle name="Calculation 3 3 2 2" xfId="220" xr:uid="{00000000-0005-0000-0000-0000BC000000}"/>
    <cellStyle name="Calculation 3 3 3" xfId="221" xr:uid="{00000000-0005-0000-0000-0000BD000000}"/>
    <cellStyle name="Calculation 3 4" xfId="222" xr:uid="{00000000-0005-0000-0000-0000BE000000}"/>
    <cellStyle name="Calculation 3 4 2" xfId="223" xr:uid="{00000000-0005-0000-0000-0000BF000000}"/>
    <cellStyle name="Calculation 3 4 2 2" xfId="224" xr:uid="{00000000-0005-0000-0000-0000C0000000}"/>
    <cellStyle name="Calculation 3 4 3" xfId="225" xr:uid="{00000000-0005-0000-0000-0000C1000000}"/>
    <cellStyle name="Calculation 3 5" xfId="226" xr:uid="{00000000-0005-0000-0000-0000C2000000}"/>
    <cellStyle name="Calculation 3 5 2" xfId="227" xr:uid="{00000000-0005-0000-0000-0000C3000000}"/>
    <cellStyle name="Calculation 3 5 2 2" xfId="228" xr:uid="{00000000-0005-0000-0000-0000C4000000}"/>
    <cellStyle name="Calculation 3 5 3" xfId="229" xr:uid="{00000000-0005-0000-0000-0000C5000000}"/>
    <cellStyle name="Calculation 3 6" xfId="230" xr:uid="{00000000-0005-0000-0000-0000C6000000}"/>
    <cellStyle name="Calculation 3 6 2" xfId="231" xr:uid="{00000000-0005-0000-0000-0000C7000000}"/>
    <cellStyle name="Calculation 3 6 2 2" xfId="232" xr:uid="{00000000-0005-0000-0000-0000C8000000}"/>
    <cellStyle name="Calculation 3 6 3" xfId="233" xr:uid="{00000000-0005-0000-0000-0000C9000000}"/>
    <cellStyle name="Calculation 3 7" xfId="234" xr:uid="{00000000-0005-0000-0000-0000CA000000}"/>
    <cellStyle name="Calculation 3 7 2" xfId="235" xr:uid="{00000000-0005-0000-0000-0000CB000000}"/>
    <cellStyle name="Calculation 3 7 2 2" xfId="236" xr:uid="{00000000-0005-0000-0000-0000CC000000}"/>
    <cellStyle name="Calculation 3 7 3" xfId="237" xr:uid="{00000000-0005-0000-0000-0000CD000000}"/>
    <cellStyle name="Calculation 3 8" xfId="238" xr:uid="{00000000-0005-0000-0000-0000CE000000}"/>
    <cellStyle name="Calculation 3 8 2" xfId="239" xr:uid="{00000000-0005-0000-0000-0000CF000000}"/>
    <cellStyle name="Calculation 3 8 2 2" xfId="240" xr:uid="{00000000-0005-0000-0000-0000D0000000}"/>
    <cellStyle name="Calculation 3 8 3" xfId="241" xr:uid="{00000000-0005-0000-0000-0000D1000000}"/>
    <cellStyle name="Calculation 3 9" xfId="242" xr:uid="{00000000-0005-0000-0000-0000D2000000}"/>
    <cellStyle name="Calculation 3 9 2" xfId="243" xr:uid="{00000000-0005-0000-0000-0000D3000000}"/>
    <cellStyle name="Calculation 3 9 2 2" xfId="244" xr:uid="{00000000-0005-0000-0000-0000D4000000}"/>
    <cellStyle name="Calculation 3 9 3" xfId="245" xr:uid="{00000000-0005-0000-0000-0000D5000000}"/>
    <cellStyle name="Calculation 4" xfId="246" xr:uid="{00000000-0005-0000-0000-0000D6000000}"/>
    <cellStyle name="Calculation 4 10" xfId="247" xr:uid="{00000000-0005-0000-0000-0000D7000000}"/>
    <cellStyle name="Calculation 4 10 2" xfId="248" xr:uid="{00000000-0005-0000-0000-0000D8000000}"/>
    <cellStyle name="Calculation 4 11" xfId="249" xr:uid="{00000000-0005-0000-0000-0000D9000000}"/>
    <cellStyle name="Calculation 4 2" xfId="250" xr:uid="{00000000-0005-0000-0000-0000DA000000}"/>
    <cellStyle name="Calculation 4 2 10" xfId="251" xr:uid="{00000000-0005-0000-0000-0000DB000000}"/>
    <cellStyle name="Calculation 4 2 2" xfId="252" xr:uid="{00000000-0005-0000-0000-0000DC000000}"/>
    <cellStyle name="Calculation 4 2 2 2" xfId="253" xr:uid="{00000000-0005-0000-0000-0000DD000000}"/>
    <cellStyle name="Calculation 4 2 2 2 2" xfId="254" xr:uid="{00000000-0005-0000-0000-0000DE000000}"/>
    <cellStyle name="Calculation 4 2 2 3" xfId="255" xr:uid="{00000000-0005-0000-0000-0000DF000000}"/>
    <cellStyle name="Calculation 4 2 3" xfId="256" xr:uid="{00000000-0005-0000-0000-0000E0000000}"/>
    <cellStyle name="Calculation 4 2 3 2" xfId="257" xr:uid="{00000000-0005-0000-0000-0000E1000000}"/>
    <cellStyle name="Calculation 4 2 3 2 2" xfId="258" xr:uid="{00000000-0005-0000-0000-0000E2000000}"/>
    <cellStyle name="Calculation 4 2 3 3" xfId="259" xr:uid="{00000000-0005-0000-0000-0000E3000000}"/>
    <cellStyle name="Calculation 4 2 4" xfId="260" xr:uid="{00000000-0005-0000-0000-0000E4000000}"/>
    <cellStyle name="Calculation 4 2 4 2" xfId="261" xr:uid="{00000000-0005-0000-0000-0000E5000000}"/>
    <cellStyle name="Calculation 4 2 4 2 2" xfId="262" xr:uid="{00000000-0005-0000-0000-0000E6000000}"/>
    <cellStyle name="Calculation 4 2 4 3" xfId="263" xr:uid="{00000000-0005-0000-0000-0000E7000000}"/>
    <cellStyle name="Calculation 4 2 5" xfId="264" xr:uid="{00000000-0005-0000-0000-0000E8000000}"/>
    <cellStyle name="Calculation 4 2 5 2" xfId="265" xr:uid="{00000000-0005-0000-0000-0000E9000000}"/>
    <cellStyle name="Calculation 4 2 5 2 2" xfId="266" xr:uid="{00000000-0005-0000-0000-0000EA000000}"/>
    <cellStyle name="Calculation 4 2 5 3" xfId="267" xr:uid="{00000000-0005-0000-0000-0000EB000000}"/>
    <cellStyle name="Calculation 4 2 6" xfId="268" xr:uid="{00000000-0005-0000-0000-0000EC000000}"/>
    <cellStyle name="Calculation 4 2 6 2" xfId="269" xr:uid="{00000000-0005-0000-0000-0000ED000000}"/>
    <cellStyle name="Calculation 4 2 6 2 2" xfId="270" xr:uid="{00000000-0005-0000-0000-0000EE000000}"/>
    <cellStyle name="Calculation 4 2 6 3" xfId="271" xr:uid="{00000000-0005-0000-0000-0000EF000000}"/>
    <cellStyle name="Calculation 4 2 7" xfId="272" xr:uid="{00000000-0005-0000-0000-0000F0000000}"/>
    <cellStyle name="Calculation 4 2 7 2" xfId="273" xr:uid="{00000000-0005-0000-0000-0000F1000000}"/>
    <cellStyle name="Calculation 4 2 7 2 2" xfId="274" xr:uid="{00000000-0005-0000-0000-0000F2000000}"/>
    <cellStyle name="Calculation 4 2 7 3" xfId="275" xr:uid="{00000000-0005-0000-0000-0000F3000000}"/>
    <cellStyle name="Calculation 4 2 8" xfId="276" xr:uid="{00000000-0005-0000-0000-0000F4000000}"/>
    <cellStyle name="Calculation 4 2 8 2" xfId="277" xr:uid="{00000000-0005-0000-0000-0000F5000000}"/>
    <cellStyle name="Calculation 4 2 8 2 2" xfId="278" xr:uid="{00000000-0005-0000-0000-0000F6000000}"/>
    <cellStyle name="Calculation 4 2 8 3" xfId="279" xr:uid="{00000000-0005-0000-0000-0000F7000000}"/>
    <cellStyle name="Calculation 4 2 9" xfId="280" xr:uid="{00000000-0005-0000-0000-0000F8000000}"/>
    <cellStyle name="Calculation 4 2 9 2" xfId="281" xr:uid="{00000000-0005-0000-0000-0000F9000000}"/>
    <cellStyle name="Calculation 4 3" xfId="282" xr:uid="{00000000-0005-0000-0000-0000FA000000}"/>
    <cellStyle name="Calculation 4 3 2" xfId="283" xr:uid="{00000000-0005-0000-0000-0000FB000000}"/>
    <cellStyle name="Calculation 4 3 2 2" xfId="284" xr:uid="{00000000-0005-0000-0000-0000FC000000}"/>
    <cellStyle name="Calculation 4 3 3" xfId="285" xr:uid="{00000000-0005-0000-0000-0000FD000000}"/>
    <cellStyle name="Calculation 4 4" xfId="286" xr:uid="{00000000-0005-0000-0000-0000FE000000}"/>
    <cellStyle name="Calculation 4 4 2" xfId="287" xr:uid="{00000000-0005-0000-0000-0000FF000000}"/>
    <cellStyle name="Calculation 4 4 2 2" xfId="288" xr:uid="{00000000-0005-0000-0000-000000010000}"/>
    <cellStyle name="Calculation 4 4 3" xfId="289" xr:uid="{00000000-0005-0000-0000-000001010000}"/>
    <cellStyle name="Calculation 4 5" xfId="290" xr:uid="{00000000-0005-0000-0000-000002010000}"/>
    <cellStyle name="Calculation 4 5 2" xfId="291" xr:uid="{00000000-0005-0000-0000-000003010000}"/>
    <cellStyle name="Calculation 4 5 2 2" xfId="292" xr:uid="{00000000-0005-0000-0000-000004010000}"/>
    <cellStyle name="Calculation 4 5 3" xfId="293" xr:uid="{00000000-0005-0000-0000-000005010000}"/>
    <cellStyle name="Calculation 4 6" xfId="294" xr:uid="{00000000-0005-0000-0000-000006010000}"/>
    <cellStyle name="Calculation 4 6 2" xfId="295" xr:uid="{00000000-0005-0000-0000-000007010000}"/>
    <cellStyle name="Calculation 4 6 2 2" xfId="296" xr:uid="{00000000-0005-0000-0000-000008010000}"/>
    <cellStyle name="Calculation 4 6 3" xfId="297" xr:uid="{00000000-0005-0000-0000-000009010000}"/>
    <cellStyle name="Calculation 4 7" xfId="298" xr:uid="{00000000-0005-0000-0000-00000A010000}"/>
    <cellStyle name="Calculation 4 7 2" xfId="299" xr:uid="{00000000-0005-0000-0000-00000B010000}"/>
    <cellStyle name="Calculation 4 7 2 2" xfId="300" xr:uid="{00000000-0005-0000-0000-00000C010000}"/>
    <cellStyle name="Calculation 4 7 3" xfId="301" xr:uid="{00000000-0005-0000-0000-00000D010000}"/>
    <cellStyle name="Calculation 4 8" xfId="302" xr:uid="{00000000-0005-0000-0000-00000E010000}"/>
    <cellStyle name="Calculation 4 8 2" xfId="303" xr:uid="{00000000-0005-0000-0000-00000F010000}"/>
    <cellStyle name="Calculation 4 8 2 2" xfId="304" xr:uid="{00000000-0005-0000-0000-000010010000}"/>
    <cellStyle name="Calculation 4 8 3" xfId="305" xr:uid="{00000000-0005-0000-0000-000011010000}"/>
    <cellStyle name="Calculation 4 9" xfId="306" xr:uid="{00000000-0005-0000-0000-000012010000}"/>
    <cellStyle name="Calculation 4 9 2" xfId="307" xr:uid="{00000000-0005-0000-0000-000013010000}"/>
    <cellStyle name="Calculation 4 9 2 2" xfId="308" xr:uid="{00000000-0005-0000-0000-000014010000}"/>
    <cellStyle name="Calculation 4 9 3" xfId="309" xr:uid="{00000000-0005-0000-0000-000015010000}"/>
    <cellStyle name="ChartingText" xfId="310" xr:uid="{00000000-0005-0000-0000-000016010000}"/>
    <cellStyle name="Check Cell 2" xfId="311" xr:uid="{00000000-0005-0000-0000-000017010000}"/>
    <cellStyle name="Check Cell 2 2" xfId="312" xr:uid="{00000000-0005-0000-0000-000018010000}"/>
    <cellStyle name="Check Cell 3" xfId="313" xr:uid="{00000000-0005-0000-0000-000019010000}"/>
    <cellStyle name="Check Cell 4" xfId="314" xr:uid="{00000000-0005-0000-0000-00001A010000}"/>
    <cellStyle name="ColumnHeaderNormal" xfId="315" xr:uid="{00000000-0005-0000-0000-00001B010000}"/>
    <cellStyle name="Comma" xfId="1" builtinId="3"/>
    <cellStyle name="Comma 16" xfId="316" xr:uid="{00000000-0005-0000-0000-00001D010000}"/>
    <cellStyle name="Comma 2" xfId="3" xr:uid="{00000000-0005-0000-0000-00001E010000}"/>
    <cellStyle name="Comma 2 2" xfId="4" xr:uid="{00000000-0005-0000-0000-00001F010000}"/>
    <cellStyle name="Comma 2 2 2" xfId="317" xr:uid="{00000000-0005-0000-0000-000020010000}"/>
    <cellStyle name="Comma 2 2 2 2" xfId="318" xr:uid="{00000000-0005-0000-0000-000021010000}"/>
    <cellStyle name="Comma 2 2 2 3" xfId="319" xr:uid="{00000000-0005-0000-0000-000022010000}"/>
    <cellStyle name="Comma 2 3" xfId="320" xr:uid="{00000000-0005-0000-0000-000023010000}"/>
    <cellStyle name="Comma 2 4" xfId="321" xr:uid="{00000000-0005-0000-0000-000024010000}"/>
    <cellStyle name="Comma 2 5" xfId="322" xr:uid="{00000000-0005-0000-0000-000025010000}"/>
    <cellStyle name="Comma 3" xfId="5" xr:uid="{00000000-0005-0000-0000-000026010000}"/>
    <cellStyle name="Comma 3 2" xfId="6" xr:uid="{00000000-0005-0000-0000-000027010000}"/>
    <cellStyle name="Comma 4" xfId="7" xr:uid="{00000000-0005-0000-0000-000028010000}"/>
    <cellStyle name="Comma 4 2" xfId="323" xr:uid="{00000000-0005-0000-0000-000029010000}"/>
    <cellStyle name="Comma 4 2 2" xfId="324" xr:uid="{00000000-0005-0000-0000-00002A010000}"/>
    <cellStyle name="Comma 4 3" xfId="325" xr:uid="{00000000-0005-0000-0000-00002B010000}"/>
    <cellStyle name="Comma 4 4" xfId="326" xr:uid="{00000000-0005-0000-0000-00002C010000}"/>
    <cellStyle name="Comma 5" xfId="8" xr:uid="{00000000-0005-0000-0000-00002D010000}"/>
    <cellStyle name="Comma 5 2" xfId="327" xr:uid="{00000000-0005-0000-0000-00002E010000}"/>
    <cellStyle name="Comma 5 3" xfId="9" xr:uid="{00000000-0005-0000-0000-00002F010000}"/>
    <cellStyle name="Comma 6" xfId="10" xr:uid="{00000000-0005-0000-0000-000030010000}"/>
    <cellStyle name="Comma 6 2" xfId="328" xr:uid="{00000000-0005-0000-0000-000031010000}"/>
    <cellStyle name="Comma 7" xfId="11" xr:uid="{00000000-0005-0000-0000-000032010000}"/>
    <cellStyle name="Comma 7 2" xfId="329" xr:uid="{00000000-0005-0000-0000-000033010000}"/>
    <cellStyle name="Comma 8" xfId="330" xr:uid="{00000000-0005-0000-0000-000034010000}"/>
    <cellStyle name="Currency 2" xfId="12" xr:uid="{00000000-0005-0000-0000-000036010000}"/>
    <cellStyle name="Currency 2 2" xfId="30" xr:uid="{00000000-0005-0000-0000-000037010000}"/>
    <cellStyle name="Currency 2 2 2" xfId="331" xr:uid="{00000000-0005-0000-0000-000038010000}"/>
    <cellStyle name="Currency 2 2 2 2" xfId="332" xr:uid="{00000000-0005-0000-0000-000039010000}"/>
    <cellStyle name="Currency 2 2 2 3" xfId="333" xr:uid="{00000000-0005-0000-0000-00003A010000}"/>
    <cellStyle name="Currency 2 3" xfId="334" xr:uid="{00000000-0005-0000-0000-00003B010000}"/>
    <cellStyle name="Currency 3" xfId="13" xr:uid="{00000000-0005-0000-0000-00003C010000}"/>
    <cellStyle name="Currency 3 2" xfId="335" xr:uid="{00000000-0005-0000-0000-00003D010000}"/>
    <cellStyle name="Currency 3 2 2" xfId="336" xr:uid="{00000000-0005-0000-0000-00003E010000}"/>
    <cellStyle name="Currency 3 3" xfId="337" xr:uid="{00000000-0005-0000-0000-00003F010000}"/>
    <cellStyle name="Currency 3 4" xfId="338" xr:uid="{00000000-0005-0000-0000-000040010000}"/>
    <cellStyle name="Currency 4" xfId="339" xr:uid="{00000000-0005-0000-0000-000041010000}"/>
    <cellStyle name="Currency 5" xfId="340" xr:uid="{00000000-0005-0000-0000-000042010000}"/>
    <cellStyle name="Explanatory Text 2" xfId="341" xr:uid="{00000000-0005-0000-0000-000043010000}"/>
    <cellStyle name="Explanatory Text 2 2" xfId="342" xr:uid="{00000000-0005-0000-0000-000044010000}"/>
    <cellStyle name="Explanatory Text 3" xfId="343" xr:uid="{00000000-0005-0000-0000-000045010000}"/>
    <cellStyle name="Explanatory Text 4" xfId="344" xr:uid="{00000000-0005-0000-0000-000046010000}"/>
    <cellStyle name="g4Num" xfId="345" xr:uid="{00000000-0005-0000-0000-000047010000}"/>
    <cellStyle name="g4Percent" xfId="346" xr:uid="{00000000-0005-0000-0000-000048010000}"/>
    <cellStyle name="gAsDays" xfId="347" xr:uid="{00000000-0005-0000-0000-000049010000}"/>
    <cellStyle name="gAsMultiple" xfId="348" xr:uid="{00000000-0005-0000-0000-00004A010000}"/>
    <cellStyle name="gAsNum" xfId="349" xr:uid="{00000000-0005-0000-0000-00004B010000}"/>
    <cellStyle name="gAsPercent" xfId="350" xr:uid="{00000000-0005-0000-0000-00004C010000}"/>
    <cellStyle name="gAsText" xfId="351" xr:uid="{00000000-0005-0000-0000-00004D010000}"/>
    <cellStyle name="gColumnTop" xfId="352" xr:uid="{00000000-0005-0000-0000-00004E010000}"/>
    <cellStyle name="gDays" xfId="353" xr:uid="{00000000-0005-0000-0000-00004F010000}"/>
    <cellStyle name="gHeading" xfId="354" xr:uid="{00000000-0005-0000-0000-000050010000}"/>
    <cellStyle name="gLastStep" xfId="355" xr:uid="{00000000-0005-0000-0000-000051010000}"/>
    <cellStyle name="gMultiple" xfId="356" xr:uid="{00000000-0005-0000-0000-000052010000}"/>
    <cellStyle name="gNum" xfId="357" xr:uid="{00000000-0005-0000-0000-000053010000}"/>
    <cellStyle name="Good 2" xfId="358" xr:uid="{00000000-0005-0000-0000-000054010000}"/>
    <cellStyle name="Good 2 2" xfId="359" xr:uid="{00000000-0005-0000-0000-000055010000}"/>
    <cellStyle name="Good 3" xfId="360" xr:uid="{00000000-0005-0000-0000-000056010000}"/>
    <cellStyle name="Good 4" xfId="361" xr:uid="{00000000-0005-0000-0000-000057010000}"/>
    <cellStyle name="gPercent" xfId="362" xr:uid="{00000000-0005-0000-0000-000058010000}"/>
    <cellStyle name="gText" xfId="363" xr:uid="{00000000-0005-0000-0000-000059010000}"/>
    <cellStyle name="gUSD" xfId="364" xr:uid="{00000000-0005-0000-0000-00005A010000}"/>
    <cellStyle name="Heading 1 2" xfId="365" xr:uid="{00000000-0005-0000-0000-00005B010000}"/>
    <cellStyle name="Heading 1 2 2" xfId="366" xr:uid="{00000000-0005-0000-0000-00005C010000}"/>
    <cellStyle name="Heading 1 3" xfId="367" xr:uid="{00000000-0005-0000-0000-00005D010000}"/>
    <cellStyle name="Heading 1 4" xfId="368" xr:uid="{00000000-0005-0000-0000-00005E010000}"/>
    <cellStyle name="Heading 2 2" xfId="369" xr:uid="{00000000-0005-0000-0000-00005F010000}"/>
    <cellStyle name="Heading 2 2 2" xfId="370" xr:uid="{00000000-0005-0000-0000-000060010000}"/>
    <cellStyle name="Heading 2 3" xfId="371" xr:uid="{00000000-0005-0000-0000-000061010000}"/>
    <cellStyle name="Heading 2 4" xfId="372" xr:uid="{00000000-0005-0000-0000-000062010000}"/>
    <cellStyle name="Heading 3 2" xfId="373" xr:uid="{00000000-0005-0000-0000-000063010000}"/>
    <cellStyle name="Heading 3 2 2" xfId="374" xr:uid="{00000000-0005-0000-0000-000064010000}"/>
    <cellStyle name="Heading 3 3" xfId="375" xr:uid="{00000000-0005-0000-0000-000065010000}"/>
    <cellStyle name="Heading 3 3 2" xfId="376" xr:uid="{00000000-0005-0000-0000-000066010000}"/>
    <cellStyle name="Heading 3 3 3" xfId="377" xr:uid="{00000000-0005-0000-0000-000067010000}"/>
    <cellStyle name="Heading 3 3 4" xfId="378" xr:uid="{00000000-0005-0000-0000-000068010000}"/>
    <cellStyle name="Heading 3 4" xfId="379" xr:uid="{00000000-0005-0000-0000-000069010000}"/>
    <cellStyle name="Heading 3 4 2" xfId="380" xr:uid="{00000000-0005-0000-0000-00006A010000}"/>
    <cellStyle name="Heading 3 4 3" xfId="381" xr:uid="{00000000-0005-0000-0000-00006B010000}"/>
    <cellStyle name="Heading 3 4 4" xfId="382" xr:uid="{00000000-0005-0000-0000-00006C010000}"/>
    <cellStyle name="Heading 4 2" xfId="383" xr:uid="{00000000-0005-0000-0000-00006D010000}"/>
    <cellStyle name="Heading 4 2 2" xfId="384" xr:uid="{00000000-0005-0000-0000-00006E010000}"/>
    <cellStyle name="Heading 4 3" xfId="385" xr:uid="{00000000-0005-0000-0000-00006F010000}"/>
    <cellStyle name="Heading 4 4" xfId="386" xr:uid="{00000000-0005-0000-0000-000070010000}"/>
    <cellStyle name="Hyperlink" xfId="980" builtinId="8"/>
    <cellStyle name="Hyperlink 2" xfId="14" xr:uid="{00000000-0005-0000-0000-000071010000}"/>
    <cellStyle name="Input 2" xfId="387" xr:uid="{00000000-0005-0000-0000-000072010000}"/>
    <cellStyle name="Input 2 2" xfId="388" xr:uid="{00000000-0005-0000-0000-000073010000}"/>
    <cellStyle name="Input 3" xfId="389" xr:uid="{00000000-0005-0000-0000-000074010000}"/>
    <cellStyle name="Input 3 10" xfId="390" xr:uid="{00000000-0005-0000-0000-000075010000}"/>
    <cellStyle name="Input 3 10 2" xfId="391" xr:uid="{00000000-0005-0000-0000-000076010000}"/>
    <cellStyle name="Input 3 11" xfId="392" xr:uid="{00000000-0005-0000-0000-000077010000}"/>
    <cellStyle name="Input 3 2" xfId="393" xr:uid="{00000000-0005-0000-0000-000078010000}"/>
    <cellStyle name="Input 3 2 10" xfId="394" xr:uid="{00000000-0005-0000-0000-000079010000}"/>
    <cellStyle name="Input 3 2 2" xfId="395" xr:uid="{00000000-0005-0000-0000-00007A010000}"/>
    <cellStyle name="Input 3 2 2 2" xfId="396" xr:uid="{00000000-0005-0000-0000-00007B010000}"/>
    <cellStyle name="Input 3 2 2 2 2" xfId="397" xr:uid="{00000000-0005-0000-0000-00007C010000}"/>
    <cellStyle name="Input 3 2 2 3" xfId="398" xr:uid="{00000000-0005-0000-0000-00007D010000}"/>
    <cellStyle name="Input 3 2 3" xfId="399" xr:uid="{00000000-0005-0000-0000-00007E010000}"/>
    <cellStyle name="Input 3 2 3 2" xfId="400" xr:uid="{00000000-0005-0000-0000-00007F010000}"/>
    <cellStyle name="Input 3 2 3 2 2" xfId="401" xr:uid="{00000000-0005-0000-0000-000080010000}"/>
    <cellStyle name="Input 3 2 3 3" xfId="402" xr:uid="{00000000-0005-0000-0000-000081010000}"/>
    <cellStyle name="Input 3 2 4" xfId="403" xr:uid="{00000000-0005-0000-0000-000082010000}"/>
    <cellStyle name="Input 3 2 4 2" xfId="404" xr:uid="{00000000-0005-0000-0000-000083010000}"/>
    <cellStyle name="Input 3 2 4 2 2" xfId="405" xr:uid="{00000000-0005-0000-0000-000084010000}"/>
    <cellStyle name="Input 3 2 4 3" xfId="406" xr:uid="{00000000-0005-0000-0000-000085010000}"/>
    <cellStyle name="Input 3 2 5" xfId="407" xr:uid="{00000000-0005-0000-0000-000086010000}"/>
    <cellStyle name="Input 3 2 5 2" xfId="408" xr:uid="{00000000-0005-0000-0000-000087010000}"/>
    <cellStyle name="Input 3 2 5 2 2" xfId="409" xr:uid="{00000000-0005-0000-0000-000088010000}"/>
    <cellStyle name="Input 3 2 5 3" xfId="410" xr:uid="{00000000-0005-0000-0000-000089010000}"/>
    <cellStyle name="Input 3 2 6" xfId="411" xr:uid="{00000000-0005-0000-0000-00008A010000}"/>
    <cellStyle name="Input 3 2 6 2" xfId="412" xr:uid="{00000000-0005-0000-0000-00008B010000}"/>
    <cellStyle name="Input 3 2 6 2 2" xfId="413" xr:uid="{00000000-0005-0000-0000-00008C010000}"/>
    <cellStyle name="Input 3 2 6 3" xfId="414" xr:uid="{00000000-0005-0000-0000-00008D010000}"/>
    <cellStyle name="Input 3 2 7" xfId="415" xr:uid="{00000000-0005-0000-0000-00008E010000}"/>
    <cellStyle name="Input 3 2 7 2" xfId="416" xr:uid="{00000000-0005-0000-0000-00008F010000}"/>
    <cellStyle name="Input 3 2 7 2 2" xfId="417" xr:uid="{00000000-0005-0000-0000-000090010000}"/>
    <cellStyle name="Input 3 2 7 3" xfId="418" xr:uid="{00000000-0005-0000-0000-000091010000}"/>
    <cellStyle name="Input 3 2 8" xfId="419" xr:uid="{00000000-0005-0000-0000-000092010000}"/>
    <cellStyle name="Input 3 2 8 2" xfId="420" xr:uid="{00000000-0005-0000-0000-000093010000}"/>
    <cellStyle name="Input 3 2 8 2 2" xfId="421" xr:uid="{00000000-0005-0000-0000-000094010000}"/>
    <cellStyle name="Input 3 2 8 3" xfId="422" xr:uid="{00000000-0005-0000-0000-000095010000}"/>
    <cellStyle name="Input 3 2 9" xfId="423" xr:uid="{00000000-0005-0000-0000-000096010000}"/>
    <cellStyle name="Input 3 2 9 2" xfId="424" xr:uid="{00000000-0005-0000-0000-000097010000}"/>
    <cellStyle name="Input 3 3" xfId="425" xr:uid="{00000000-0005-0000-0000-000098010000}"/>
    <cellStyle name="Input 3 3 2" xfId="426" xr:uid="{00000000-0005-0000-0000-000099010000}"/>
    <cellStyle name="Input 3 3 2 2" xfId="427" xr:uid="{00000000-0005-0000-0000-00009A010000}"/>
    <cellStyle name="Input 3 3 3" xfId="428" xr:uid="{00000000-0005-0000-0000-00009B010000}"/>
    <cellStyle name="Input 3 4" xfId="429" xr:uid="{00000000-0005-0000-0000-00009C010000}"/>
    <cellStyle name="Input 3 4 2" xfId="430" xr:uid="{00000000-0005-0000-0000-00009D010000}"/>
    <cellStyle name="Input 3 4 2 2" xfId="431" xr:uid="{00000000-0005-0000-0000-00009E010000}"/>
    <cellStyle name="Input 3 4 3" xfId="432" xr:uid="{00000000-0005-0000-0000-00009F010000}"/>
    <cellStyle name="Input 3 5" xfId="433" xr:uid="{00000000-0005-0000-0000-0000A0010000}"/>
    <cellStyle name="Input 3 5 2" xfId="434" xr:uid="{00000000-0005-0000-0000-0000A1010000}"/>
    <cellStyle name="Input 3 5 2 2" xfId="435" xr:uid="{00000000-0005-0000-0000-0000A2010000}"/>
    <cellStyle name="Input 3 5 3" xfId="436" xr:uid="{00000000-0005-0000-0000-0000A3010000}"/>
    <cellStyle name="Input 3 6" xfId="437" xr:uid="{00000000-0005-0000-0000-0000A4010000}"/>
    <cellStyle name="Input 3 6 2" xfId="438" xr:uid="{00000000-0005-0000-0000-0000A5010000}"/>
    <cellStyle name="Input 3 6 2 2" xfId="439" xr:uid="{00000000-0005-0000-0000-0000A6010000}"/>
    <cellStyle name="Input 3 6 3" xfId="440" xr:uid="{00000000-0005-0000-0000-0000A7010000}"/>
    <cellStyle name="Input 3 7" xfId="441" xr:uid="{00000000-0005-0000-0000-0000A8010000}"/>
    <cellStyle name="Input 3 7 2" xfId="442" xr:uid="{00000000-0005-0000-0000-0000A9010000}"/>
    <cellStyle name="Input 3 7 2 2" xfId="443" xr:uid="{00000000-0005-0000-0000-0000AA010000}"/>
    <cellStyle name="Input 3 7 3" xfId="444" xr:uid="{00000000-0005-0000-0000-0000AB010000}"/>
    <cellStyle name="Input 3 8" xfId="445" xr:uid="{00000000-0005-0000-0000-0000AC010000}"/>
    <cellStyle name="Input 3 8 2" xfId="446" xr:uid="{00000000-0005-0000-0000-0000AD010000}"/>
    <cellStyle name="Input 3 8 2 2" xfId="447" xr:uid="{00000000-0005-0000-0000-0000AE010000}"/>
    <cellStyle name="Input 3 8 3" xfId="448" xr:uid="{00000000-0005-0000-0000-0000AF010000}"/>
    <cellStyle name="Input 3 9" xfId="449" xr:uid="{00000000-0005-0000-0000-0000B0010000}"/>
    <cellStyle name="Input 3 9 2" xfId="450" xr:uid="{00000000-0005-0000-0000-0000B1010000}"/>
    <cellStyle name="Input 3 9 2 2" xfId="451" xr:uid="{00000000-0005-0000-0000-0000B2010000}"/>
    <cellStyle name="Input 3 9 3" xfId="452" xr:uid="{00000000-0005-0000-0000-0000B3010000}"/>
    <cellStyle name="Input 4" xfId="453" xr:uid="{00000000-0005-0000-0000-0000B4010000}"/>
    <cellStyle name="Input 4 10" xfId="454" xr:uid="{00000000-0005-0000-0000-0000B5010000}"/>
    <cellStyle name="Input 4 10 2" xfId="455" xr:uid="{00000000-0005-0000-0000-0000B6010000}"/>
    <cellStyle name="Input 4 11" xfId="456" xr:uid="{00000000-0005-0000-0000-0000B7010000}"/>
    <cellStyle name="Input 4 2" xfId="457" xr:uid="{00000000-0005-0000-0000-0000B8010000}"/>
    <cellStyle name="Input 4 2 10" xfId="458" xr:uid="{00000000-0005-0000-0000-0000B9010000}"/>
    <cellStyle name="Input 4 2 2" xfId="459" xr:uid="{00000000-0005-0000-0000-0000BA010000}"/>
    <cellStyle name="Input 4 2 2 2" xfId="460" xr:uid="{00000000-0005-0000-0000-0000BB010000}"/>
    <cellStyle name="Input 4 2 2 2 2" xfId="461" xr:uid="{00000000-0005-0000-0000-0000BC010000}"/>
    <cellStyle name="Input 4 2 2 3" xfId="462" xr:uid="{00000000-0005-0000-0000-0000BD010000}"/>
    <cellStyle name="Input 4 2 3" xfId="463" xr:uid="{00000000-0005-0000-0000-0000BE010000}"/>
    <cellStyle name="Input 4 2 3 2" xfId="464" xr:uid="{00000000-0005-0000-0000-0000BF010000}"/>
    <cellStyle name="Input 4 2 3 2 2" xfId="465" xr:uid="{00000000-0005-0000-0000-0000C0010000}"/>
    <cellStyle name="Input 4 2 3 3" xfId="466" xr:uid="{00000000-0005-0000-0000-0000C1010000}"/>
    <cellStyle name="Input 4 2 4" xfId="467" xr:uid="{00000000-0005-0000-0000-0000C2010000}"/>
    <cellStyle name="Input 4 2 4 2" xfId="468" xr:uid="{00000000-0005-0000-0000-0000C3010000}"/>
    <cellStyle name="Input 4 2 4 2 2" xfId="469" xr:uid="{00000000-0005-0000-0000-0000C4010000}"/>
    <cellStyle name="Input 4 2 4 3" xfId="470" xr:uid="{00000000-0005-0000-0000-0000C5010000}"/>
    <cellStyle name="Input 4 2 5" xfId="471" xr:uid="{00000000-0005-0000-0000-0000C6010000}"/>
    <cellStyle name="Input 4 2 5 2" xfId="472" xr:uid="{00000000-0005-0000-0000-0000C7010000}"/>
    <cellStyle name="Input 4 2 5 2 2" xfId="473" xr:uid="{00000000-0005-0000-0000-0000C8010000}"/>
    <cellStyle name="Input 4 2 5 3" xfId="474" xr:uid="{00000000-0005-0000-0000-0000C9010000}"/>
    <cellStyle name="Input 4 2 6" xfId="475" xr:uid="{00000000-0005-0000-0000-0000CA010000}"/>
    <cellStyle name="Input 4 2 6 2" xfId="476" xr:uid="{00000000-0005-0000-0000-0000CB010000}"/>
    <cellStyle name="Input 4 2 6 2 2" xfId="477" xr:uid="{00000000-0005-0000-0000-0000CC010000}"/>
    <cellStyle name="Input 4 2 6 3" xfId="478" xr:uid="{00000000-0005-0000-0000-0000CD010000}"/>
    <cellStyle name="Input 4 2 7" xfId="479" xr:uid="{00000000-0005-0000-0000-0000CE010000}"/>
    <cellStyle name="Input 4 2 7 2" xfId="480" xr:uid="{00000000-0005-0000-0000-0000CF010000}"/>
    <cellStyle name="Input 4 2 7 2 2" xfId="481" xr:uid="{00000000-0005-0000-0000-0000D0010000}"/>
    <cellStyle name="Input 4 2 7 3" xfId="482" xr:uid="{00000000-0005-0000-0000-0000D1010000}"/>
    <cellStyle name="Input 4 2 8" xfId="483" xr:uid="{00000000-0005-0000-0000-0000D2010000}"/>
    <cellStyle name="Input 4 2 8 2" xfId="484" xr:uid="{00000000-0005-0000-0000-0000D3010000}"/>
    <cellStyle name="Input 4 2 8 2 2" xfId="485" xr:uid="{00000000-0005-0000-0000-0000D4010000}"/>
    <cellStyle name="Input 4 2 8 3" xfId="486" xr:uid="{00000000-0005-0000-0000-0000D5010000}"/>
    <cellStyle name="Input 4 2 9" xfId="487" xr:uid="{00000000-0005-0000-0000-0000D6010000}"/>
    <cellStyle name="Input 4 2 9 2" xfId="488" xr:uid="{00000000-0005-0000-0000-0000D7010000}"/>
    <cellStyle name="Input 4 3" xfId="489" xr:uid="{00000000-0005-0000-0000-0000D8010000}"/>
    <cellStyle name="Input 4 3 2" xfId="490" xr:uid="{00000000-0005-0000-0000-0000D9010000}"/>
    <cellStyle name="Input 4 3 2 2" xfId="491" xr:uid="{00000000-0005-0000-0000-0000DA010000}"/>
    <cellStyle name="Input 4 3 3" xfId="492" xr:uid="{00000000-0005-0000-0000-0000DB010000}"/>
    <cellStyle name="Input 4 4" xfId="493" xr:uid="{00000000-0005-0000-0000-0000DC010000}"/>
    <cellStyle name="Input 4 4 2" xfId="494" xr:uid="{00000000-0005-0000-0000-0000DD010000}"/>
    <cellStyle name="Input 4 4 2 2" xfId="495" xr:uid="{00000000-0005-0000-0000-0000DE010000}"/>
    <cellStyle name="Input 4 4 3" xfId="496" xr:uid="{00000000-0005-0000-0000-0000DF010000}"/>
    <cellStyle name="Input 4 5" xfId="497" xr:uid="{00000000-0005-0000-0000-0000E0010000}"/>
    <cellStyle name="Input 4 5 2" xfId="498" xr:uid="{00000000-0005-0000-0000-0000E1010000}"/>
    <cellStyle name="Input 4 5 2 2" xfId="499" xr:uid="{00000000-0005-0000-0000-0000E2010000}"/>
    <cellStyle name="Input 4 5 3" xfId="500" xr:uid="{00000000-0005-0000-0000-0000E3010000}"/>
    <cellStyle name="Input 4 6" xfId="501" xr:uid="{00000000-0005-0000-0000-0000E4010000}"/>
    <cellStyle name="Input 4 6 2" xfId="502" xr:uid="{00000000-0005-0000-0000-0000E5010000}"/>
    <cellStyle name="Input 4 6 2 2" xfId="503" xr:uid="{00000000-0005-0000-0000-0000E6010000}"/>
    <cellStyle name="Input 4 6 3" xfId="504" xr:uid="{00000000-0005-0000-0000-0000E7010000}"/>
    <cellStyle name="Input 4 7" xfId="505" xr:uid="{00000000-0005-0000-0000-0000E8010000}"/>
    <cellStyle name="Input 4 7 2" xfId="506" xr:uid="{00000000-0005-0000-0000-0000E9010000}"/>
    <cellStyle name="Input 4 7 2 2" xfId="507" xr:uid="{00000000-0005-0000-0000-0000EA010000}"/>
    <cellStyle name="Input 4 7 3" xfId="508" xr:uid="{00000000-0005-0000-0000-0000EB010000}"/>
    <cellStyle name="Input 4 8" xfId="509" xr:uid="{00000000-0005-0000-0000-0000EC010000}"/>
    <cellStyle name="Input 4 8 2" xfId="510" xr:uid="{00000000-0005-0000-0000-0000ED010000}"/>
    <cellStyle name="Input 4 8 2 2" xfId="511" xr:uid="{00000000-0005-0000-0000-0000EE010000}"/>
    <cellStyle name="Input 4 8 3" xfId="512" xr:uid="{00000000-0005-0000-0000-0000EF010000}"/>
    <cellStyle name="Input 4 9" xfId="513" xr:uid="{00000000-0005-0000-0000-0000F0010000}"/>
    <cellStyle name="Input 4 9 2" xfId="514" xr:uid="{00000000-0005-0000-0000-0000F1010000}"/>
    <cellStyle name="Input 4 9 2 2" xfId="515" xr:uid="{00000000-0005-0000-0000-0000F2010000}"/>
    <cellStyle name="Input 4 9 3" xfId="516" xr:uid="{00000000-0005-0000-0000-0000F3010000}"/>
    <cellStyle name="Invisible" xfId="517" xr:uid="{00000000-0005-0000-0000-0000F4010000}"/>
    <cellStyle name="Linked Cell 2" xfId="518" xr:uid="{00000000-0005-0000-0000-0000F5010000}"/>
    <cellStyle name="Linked Cell 2 2" xfId="519" xr:uid="{00000000-0005-0000-0000-0000F6010000}"/>
    <cellStyle name="Linked Cell 3" xfId="520" xr:uid="{00000000-0005-0000-0000-0000F7010000}"/>
    <cellStyle name="Linked Cell 4" xfId="521" xr:uid="{00000000-0005-0000-0000-0000F8010000}"/>
    <cellStyle name="Neutral 2" xfId="522" xr:uid="{00000000-0005-0000-0000-0000F9010000}"/>
    <cellStyle name="Neutral 2 2" xfId="523" xr:uid="{00000000-0005-0000-0000-0000FA010000}"/>
    <cellStyle name="Neutral 3" xfId="524" xr:uid="{00000000-0005-0000-0000-0000FB010000}"/>
    <cellStyle name="Neutral 4" xfId="525" xr:uid="{00000000-0005-0000-0000-0000FC010000}"/>
    <cellStyle name="NewColumnHeaderNormal" xfId="526" xr:uid="{00000000-0005-0000-0000-0000FD010000}"/>
    <cellStyle name="NewSectionHeaderNormal" xfId="527" xr:uid="{00000000-0005-0000-0000-0000FE010000}"/>
    <cellStyle name="NewTitleNormal" xfId="528" xr:uid="{00000000-0005-0000-0000-0000FF010000}"/>
    <cellStyle name="Normal" xfId="0" builtinId="0"/>
    <cellStyle name="Normal 10" xfId="529" xr:uid="{00000000-0005-0000-0000-000001020000}"/>
    <cellStyle name="Normal 11" xfId="530" xr:uid="{00000000-0005-0000-0000-000002020000}"/>
    <cellStyle name="Normal 2" xfId="15" xr:uid="{00000000-0005-0000-0000-000003020000}"/>
    <cellStyle name="Normal 2 2" xfId="16" xr:uid="{00000000-0005-0000-0000-000004020000}"/>
    <cellStyle name="Normal 2 2 2" xfId="28" xr:uid="{00000000-0005-0000-0000-000005020000}"/>
    <cellStyle name="Normal 2 2 2 2" xfId="29" xr:uid="{00000000-0005-0000-0000-000006020000}"/>
    <cellStyle name="Normal 2 2 2 3" xfId="531" xr:uid="{00000000-0005-0000-0000-000007020000}"/>
    <cellStyle name="Normal 2 3" xfId="532" xr:uid="{00000000-0005-0000-0000-000008020000}"/>
    <cellStyle name="Normal 2 4" xfId="533" xr:uid="{00000000-0005-0000-0000-000009020000}"/>
    <cellStyle name="Normal 2 5" xfId="534" xr:uid="{00000000-0005-0000-0000-00000A020000}"/>
    <cellStyle name="Normal 3" xfId="17" xr:uid="{00000000-0005-0000-0000-00000B020000}"/>
    <cellStyle name="Normal 3 2" xfId="535" xr:uid="{00000000-0005-0000-0000-00000C020000}"/>
    <cellStyle name="Normal 3 2 2" xfId="536" xr:uid="{00000000-0005-0000-0000-00000D020000}"/>
    <cellStyle name="Normal 3 2 2 2" xfId="537" xr:uid="{00000000-0005-0000-0000-00000E020000}"/>
    <cellStyle name="Normal 3 2 2 3" xfId="538" xr:uid="{00000000-0005-0000-0000-00000F020000}"/>
    <cellStyle name="Normal 3 3" xfId="539" xr:uid="{00000000-0005-0000-0000-000010020000}"/>
    <cellStyle name="Normal 4" xfId="18" xr:uid="{00000000-0005-0000-0000-000011020000}"/>
    <cellStyle name="Normal 4 2" xfId="19" xr:uid="{00000000-0005-0000-0000-000012020000}"/>
    <cellStyle name="Normal 4 2 2" xfId="540" xr:uid="{00000000-0005-0000-0000-000013020000}"/>
    <cellStyle name="Normal 4 2 3" xfId="541" xr:uid="{00000000-0005-0000-0000-000014020000}"/>
    <cellStyle name="Normal 5" xfId="20" xr:uid="{00000000-0005-0000-0000-000015020000}"/>
    <cellStyle name="Normal 5 2" xfId="31" xr:uid="{00000000-0005-0000-0000-000016020000}"/>
    <cellStyle name="Normal 5 2 2" xfId="542" xr:uid="{00000000-0005-0000-0000-000017020000}"/>
    <cellStyle name="Normal 5 2 3" xfId="543" xr:uid="{00000000-0005-0000-0000-000018020000}"/>
    <cellStyle name="Normal 5 2 4" xfId="544" xr:uid="{00000000-0005-0000-0000-000019020000}"/>
    <cellStyle name="Normal 5 3" xfId="545" xr:uid="{00000000-0005-0000-0000-00001A020000}"/>
    <cellStyle name="Normal 5 3 2" xfId="546" xr:uid="{00000000-0005-0000-0000-00001B020000}"/>
    <cellStyle name="Normal 5 3 3" xfId="547" xr:uid="{00000000-0005-0000-0000-00001C020000}"/>
    <cellStyle name="Normal 5 3 4" xfId="548" xr:uid="{00000000-0005-0000-0000-00001D020000}"/>
    <cellStyle name="Normal 5 4" xfId="549" xr:uid="{00000000-0005-0000-0000-00001E020000}"/>
    <cellStyle name="Normal 5 4 2" xfId="550" xr:uid="{00000000-0005-0000-0000-00001F020000}"/>
    <cellStyle name="Normal 5 4 3" xfId="551" xr:uid="{00000000-0005-0000-0000-000020020000}"/>
    <cellStyle name="Normal 5 4 4" xfId="552" xr:uid="{00000000-0005-0000-0000-000021020000}"/>
    <cellStyle name="Normal 5 5" xfId="553" xr:uid="{00000000-0005-0000-0000-000022020000}"/>
    <cellStyle name="Normal 5 6" xfId="554" xr:uid="{00000000-0005-0000-0000-000023020000}"/>
    <cellStyle name="Normal 5 7" xfId="555" xr:uid="{00000000-0005-0000-0000-000024020000}"/>
    <cellStyle name="Normal 6" xfId="21" xr:uid="{00000000-0005-0000-0000-000025020000}"/>
    <cellStyle name="Normal 6 2" xfId="22" xr:uid="{00000000-0005-0000-0000-000026020000}"/>
    <cellStyle name="Normal 7" xfId="23" xr:uid="{00000000-0005-0000-0000-000027020000}"/>
    <cellStyle name="Normal 7 2" xfId="556" xr:uid="{00000000-0005-0000-0000-000028020000}"/>
    <cellStyle name="Normal 7 3" xfId="557" xr:uid="{00000000-0005-0000-0000-000029020000}"/>
    <cellStyle name="Normal 7 4" xfId="558" xr:uid="{00000000-0005-0000-0000-00002A020000}"/>
    <cellStyle name="Normal 7 5" xfId="559" xr:uid="{00000000-0005-0000-0000-00002B020000}"/>
    <cellStyle name="Normal 8" xfId="560" xr:uid="{00000000-0005-0000-0000-00002C020000}"/>
    <cellStyle name="Normal 8 2" xfId="561" xr:uid="{00000000-0005-0000-0000-00002D020000}"/>
    <cellStyle name="Normal 8 2 2" xfId="562" xr:uid="{00000000-0005-0000-0000-00002E020000}"/>
    <cellStyle name="Normal 8 2 2 2" xfId="563" xr:uid="{00000000-0005-0000-0000-00002F020000}"/>
    <cellStyle name="Normal 8 2 3" xfId="564" xr:uid="{00000000-0005-0000-0000-000030020000}"/>
    <cellStyle name="Normal 8 3" xfId="565" xr:uid="{00000000-0005-0000-0000-000031020000}"/>
    <cellStyle name="Normal 9" xfId="566" xr:uid="{00000000-0005-0000-0000-000032020000}"/>
    <cellStyle name="Normal 9 2" xfId="567" xr:uid="{00000000-0005-0000-0000-000033020000}"/>
    <cellStyle name="Normal_PSCB financials reporting template" xfId="2" xr:uid="{00000000-0005-0000-0000-000034020000}"/>
    <cellStyle name="Note 2" xfId="568" xr:uid="{00000000-0005-0000-0000-000035020000}"/>
    <cellStyle name="Note 2 2" xfId="569" xr:uid="{00000000-0005-0000-0000-000036020000}"/>
    <cellStyle name="Note 2 3" xfId="570" xr:uid="{00000000-0005-0000-0000-000037020000}"/>
    <cellStyle name="Note 2 4" xfId="571" xr:uid="{00000000-0005-0000-0000-000038020000}"/>
    <cellStyle name="Note 2 5" xfId="572" xr:uid="{00000000-0005-0000-0000-000039020000}"/>
    <cellStyle name="Note 3" xfId="573" xr:uid="{00000000-0005-0000-0000-00003A020000}"/>
    <cellStyle name="Note 3 10" xfId="574" xr:uid="{00000000-0005-0000-0000-00003B020000}"/>
    <cellStyle name="Note 3 10 2" xfId="575" xr:uid="{00000000-0005-0000-0000-00003C020000}"/>
    <cellStyle name="Note 3 11" xfId="576" xr:uid="{00000000-0005-0000-0000-00003D020000}"/>
    <cellStyle name="Note 3 2" xfId="577" xr:uid="{00000000-0005-0000-0000-00003E020000}"/>
    <cellStyle name="Note 3 2 10" xfId="578" xr:uid="{00000000-0005-0000-0000-00003F020000}"/>
    <cellStyle name="Note 3 2 2" xfId="579" xr:uid="{00000000-0005-0000-0000-000040020000}"/>
    <cellStyle name="Note 3 2 2 2" xfId="580" xr:uid="{00000000-0005-0000-0000-000041020000}"/>
    <cellStyle name="Note 3 2 2 2 2" xfId="581" xr:uid="{00000000-0005-0000-0000-000042020000}"/>
    <cellStyle name="Note 3 2 2 3" xfId="582" xr:uid="{00000000-0005-0000-0000-000043020000}"/>
    <cellStyle name="Note 3 2 3" xfId="583" xr:uid="{00000000-0005-0000-0000-000044020000}"/>
    <cellStyle name="Note 3 2 3 2" xfId="584" xr:uid="{00000000-0005-0000-0000-000045020000}"/>
    <cellStyle name="Note 3 2 3 2 2" xfId="585" xr:uid="{00000000-0005-0000-0000-000046020000}"/>
    <cellStyle name="Note 3 2 3 3" xfId="586" xr:uid="{00000000-0005-0000-0000-000047020000}"/>
    <cellStyle name="Note 3 2 4" xfId="587" xr:uid="{00000000-0005-0000-0000-000048020000}"/>
    <cellStyle name="Note 3 2 4 2" xfId="588" xr:uid="{00000000-0005-0000-0000-000049020000}"/>
    <cellStyle name="Note 3 2 4 2 2" xfId="589" xr:uid="{00000000-0005-0000-0000-00004A020000}"/>
    <cellStyle name="Note 3 2 4 3" xfId="590" xr:uid="{00000000-0005-0000-0000-00004B020000}"/>
    <cellStyle name="Note 3 2 5" xfId="591" xr:uid="{00000000-0005-0000-0000-00004C020000}"/>
    <cellStyle name="Note 3 2 5 2" xfId="592" xr:uid="{00000000-0005-0000-0000-00004D020000}"/>
    <cellStyle name="Note 3 2 5 2 2" xfId="593" xr:uid="{00000000-0005-0000-0000-00004E020000}"/>
    <cellStyle name="Note 3 2 5 3" xfId="594" xr:uid="{00000000-0005-0000-0000-00004F020000}"/>
    <cellStyle name="Note 3 2 6" xfId="595" xr:uid="{00000000-0005-0000-0000-000050020000}"/>
    <cellStyle name="Note 3 2 6 2" xfId="596" xr:uid="{00000000-0005-0000-0000-000051020000}"/>
    <cellStyle name="Note 3 2 6 2 2" xfId="597" xr:uid="{00000000-0005-0000-0000-000052020000}"/>
    <cellStyle name="Note 3 2 6 3" xfId="598" xr:uid="{00000000-0005-0000-0000-000053020000}"/>
    <cellStyle name="Note 3 2 7" xfId="599" xr:uid="{00000000-0005-0000-0000-000054020000}"/>
    <cellStyle name="Note 3 2 7 2" xfId="600" xr:uid="{00000000-0005-0000-0000-000055020000}"/>
    <cellStyle name="Note 3 2 7 2 2" xfId="601" xr:uid="{00000000-0005-0000-0000-000056020000}"/>
    <cellStyle name="Note 3 2 7 3" xfId="602" xr:uid="{00000000-0005-0000-0000-000057020000}"/>
    <cellStyle name="Note 3 2 8" xfId="603" xr:uid="{00000000-0005-0000-0000-000058020000}"/>
    <cellStyle name="Note 3 2 8 2" xfId="604" xr:uid="{00000000-0005-0000-0000-000059020000}"/>
    <cellStyle name="Note 3 2 8 2 2" xfId="605" xr:uid="{00000000-0005-0000-0000-00005A020000}"/>
    <cellStyle name="Note 3 2 8 3" xfId="606" xr:uid="{00000000-0005-0000-0000-00005B020000}"/>
    <cellStyle name="Note 3 2 9" xfId="607" xr:uid="{00000000-0005-0000-0000-00005C020000}"/>
    <cellStyle name="Note 3 2 9 2" xfId="608" xr:uid="{00000000-0005-0000-0000-00005D020000}"/>
    <cellStyle name="Note 3 3" xfId="609" xr:uid="{00000000-0005-0000-0000-00005E020000}"/>
    <cellStyle name="Note 3 3 2" xfId="610" xr:uid="{00000000-0005-0000-0000-00005F020000}"/>
    <cellStyle name="Note 3 3 2 2" xfId="611" xr:uid="{00000000-0005-0000-0000-000060020000}"/>
    <cellStyle name="Note 3 3 3" xfId="612" xr:uid="{00000000-0005-0000-0000-000061020000}"/>
    <cellStyle name="Note 3 4" xfId="613" xr:uid="{00000000-0005-0000-0000-000062020000}"/>
    <cellStyle name="Note 3 4 2" xfId="614" xr:uid="{00000000-0005-0000-0000-000063020000}"/>
    <cellStyle name="Note 3 4 2 2" xfId="615" xr:uid="{00000000-0005-0000-0000-000064020000}"/>
    <cellStyle name="Note 3 4 3" xfId="616" xr:uid="{00000000-0005-0000-0000-000065020000}"/>
    <cellStyle name="Note 3 5" xfId="617" xr:uid="{00000000-0005-0000-0000-000066020000}"/>
    <cellStyle name="Note 3 5 2" xfId="618" xr:uid="{00000000-0005-0000-0000-000067020000}"/>
    <cellStyle name="Note 3 5 2 2" xfId="619" xr:uid="{00000000-0005-0000-0000-000068020000}"/>
    <cellStyle name="Note 3 5 3" xfId="620" xr:uid="{00000000-0005-0000-0000-000069020000}"/>
    <cellStyle name="Note 3 6" xfId="621" xr:uid="{00000000-0005-0000-0000-00006A020000}"/>
    <cellStyle name="Note 3 6 2" xfId="622" xr:uid="{00000000-0005-0000-0000-00006B020000}"/>
    <cellStyle name="Note 3 6 2 2" xfId="623" xr:uid="{00000000-0005-0000-0000-00006C020000}"/>
    <cellStyle name="Note 3 6 3" xfId="624" xr:uid="{00000000-0005-0000-0000-00006D020000}"/>
    <cellStyle name="Note 3 7" xfId="625" xr:uid="{00000000-0005-0000-0000-00006E020000}"/>
    <cellStyle name="Note 3 7 2" xfId="626" xr:uid="{00000000-0005-0000-0000-00006F020000}"/>
    <cellStyle name="Note 3 7 2 2" xfId="627" xr:uid="{00000000-0005-0000-0000-000070020000}"/>
    <cellStyle name="Note 3 7 3" xfId="628" xr:uid="{00000000-0005-0000-0000-000071020000}"/>
    <cellStyle name="Note 3 8" xfId="629" xr:uid="{00000000-0005-0000-0000-000072020000}"/>
    <cellStyle name="Note 3 8 2" xfId="630" xr:uid="{00000000-0005-0000-0000-000073020000}"/>
    <cellStyle name="Note 3 8 2 2" xfId="631" xr:uid="{00000000-0005-0000-0000-000074020000}"/>
    <cellStyle name="Note 3 8 3" xfId="632" xr:uid="{00000000-0005-0000-0000-000075020000}"/>
    <cellStyle name="Note 3 9" xfId="633" xr:uid="{00000000-0005-0000-0000-000076020000}"/>
    <cellStyle name="Note 3 9 2" xfId="634" xr:uid="{00000000-0005-0000-0000-000077020000}"/>
    <cellStyle name="Note 3 9 2 2" xfId="635" xr:uid="{00000000-0005-0000-0000-000078020000}"/>
    <cellStyle name="Note 3 9 3" xfId="636" xr:uid="{00000000-0005-0000-0000-000079020000}"/>
    <cellStyle name="Note 4" xfId="637" xr:uid="{00000000-0005-0000-0000-00007A020000}"/>
    <cellStyle name="Note 5" xfId="638" xr:uid="{00000000-0005-0000-0000-00007B020000}"/>
    <cellStyle name="Note 5 10" xfId="639" xr:uid="{00000000-0005-0000-0000-00007C020000}"/>
    <cellStyle name="Note 5 10 2" xfId="640" xr:uid="{00000000-0005-0000-0000-00007D020000}"/>
    <cellStyle name="Note 5 11" xfId="641" xr:uid="{00000000-0005-0000-0000-00007E020000}"/>
    <cellStyle name="Note 5 2" xfId="642" xr:uid="{00000000-0005-0000-0000-00007F020000}"/>
    <cellStyle name="Note 5 2 10" xfId="643" xr:uid="{00000000-0005-0000-0000-000080020000}"/>
    <cellStyle name="Note 5 2 2" xfId="644" xr:uid="{00000000-0005-0000-0000-000081020000}"/>
    <cellStyle name="Note 5 2 2 2" xfId="645" xr:uid="{00000000-0005-0000-0000-000082020000}"/>
    <cellStyle name="Note 5 2 2 2 2" xfId="646" xr:uid="{00000000-0005-0000-0000-000083020000}"/>
    <cellStyle name="Note 5 2 2 3" xfId="647" xr:uid="{00000000-0005-0000-0000-000084020000}"/>
    <cellStyle name="Note 5 2 3" xfId="648" xr:uid="{00000000-0005-0000-0000-000085020000}"/>
    <cellStyle name="Note 5 2 3 2" xfId="649" xr:uid="{00000000-0005-0000-0000-000086020000}"/>
    <cellStyle name="Note 5 2 3 2 2" xfId="650" xr:uid="{00000000-0005-0000-0000-000087020000}"/>
    <cellStyle name="Note 5 2 3 3" xfId="651" xr:uid="{00000000-0005-0000-0000-000088020000}"/>
    <cellStyle name="Note 5 2 4" xfId="652" xr:uid="{00000000-0005-0000-0000-000089020000}"/>
    <cellStyle name="Note 5 2 4 2" xfId="653" xr:uid="{00000000-0005-0000-0000-00008A020000}"/>
    <cellStyle name="Note 5 2 4 2 2" xfId="654" xr:uid="{00000000-0005-0000-0000-00008B020000}"/>
    <cellStyle name="Note 5 2 4 3" xfId="655" xr:uid="{00000000-0005-0000-0000-00008C020000}"/>
    <cellStyle name="Note 5 2 5" xfId="656" xr:uid="{00000000-0005-0000-0000-00008D020000}"/>
    <cellStyle name="Note 5 2 5 2" xfId="657" xr:uid="{00000000-0005-0000-0000-00008E020000}"/>
    <cellStyle name="Note 5 2 5 2 2" xfId="658" xr:uid="{00000000-0005-0000-0000-00008F020000}"/>
    <cellStyle name="Note 5 2 5 3" xfId="659" xr:uid="{00000000-0005-0000-0000-000090020000}"/>
    <cellStyle name="Note 5 2 6" xfId="660" xr:uid="{00000000-0005-0000-0000-000091020000}"/>
    <cellStyle name="Note 5 2 6 2" xfId="661" xr:uid="{00000000-0005-0000-0000-000092020000}"/>
    <cellStyle name="Note 5 2 6 2 2" xfId="662" xr:uid="{00000000-0005-0000-0000-000093020000}"/>
    <cellStyle name="Note 5 2 6 3" xfId="663" xr:uid="{00000000-0005-0000-0000-000094020000}"/>
    <cellStyle name="Note 5 2 7" xfId="664" xr:uid="{00000000-0005-0000-0000-000095020000}"/>
    <cellStyle name="Note 5 2 7 2" xfId="665" xr:uid="{00000000-0005-0000-0000-000096020000}"/>
    <cellStyle name="Note 5 2 7 2 2" xfId="666" xr:uid="{00000000-0005-0000-0000-000097020000}"/>
    <cellStyle name="Note 5 2 7 3" xfId="667" xr:uid="{00000000-0005-0000-0000-000098020000}"/>
    <cellStyle name="Note 5 2 8" xfId="668" xr:uid="{00000000-0005-0000-0000-000099020000}"/>
    <cellStyle name="Note 5 2 8 2" xfId="669" xr:uid="{00000000-0005-0000-0000-00009A020000}"/>
    <cellStyle name="Note 5 2 8 2 2" xfId="670" xr:uid="{00000000-0005-0000-0000-00009B020000}"/>
    <cellStyle name="Note 5 2 8 3" xfId="671" xr:uid="{00000000-0005-0000-0000-00009C020000}"/>
    <cellStyle name="Note 5 2 9" xfId="672" xr:uid="{00000000-0005-0000-0000-00009D020000}"/>
    <cellStyle name="Note 5 2 9 2" xfId="673" xr:uid="{00000000-0005-0000-0000-00009E020000}"/>
    <cellStyle name="Note 5 3" xfId="674" xr:uid="{00000000-0005-0000-0000-00009F020000}"/>
    <cellStyle name="Note 5 3 2" xfId="675" xr:uid="{00000000-0005-0000-0000-0000A0020000}"/>
    <cellStyle name="Note 5 3 2 2" xfId="676" xr:uid="{00000000-0005-0000-0000-0000A1020000}"/>
    <cellStyle name="Note 5 3 3" xfId="677" xr:uid="{00000000-0005-0000-0000-0000A2020000}"/>
    <cellStyle name="Note 5 4" xfId="678" xr:uid="{00000000-0005-0000-0000-0000A3020000}"/>
    <cellStyle name="Note 5 4 2" xfId="679" xr:uid="{00000000-0005-0000-0000-0000A4020000}"/>
    <cellStyle name="Note 5 4 2 2" xfId="680" xr:uid="{00000000-0005-0000-0000-0000A5020000}"/>
    <cellStyle name="Note 5 4 3" xfId="681" xr:uid="{00000000-0005-0000-0000-0000A6020000}"/>
    <cellStyle name="Note 5 5" xfId="682" xr:uid="{00000000-0005-0000-0000-0000A7020000}"/>
    <cellStyle name="Note 5 5 2" xfId="683" xr:uid="{00000000-0005-0000-0000-0000A8020000}"/>
    <cellStyle name="Note 5 5 2 2" xfId="684" xr:uid="{00000000-0005-0000-0000-0000A9020000}"/>
    <cellStyle name="Note 5 5 3" xfId="685" xr:uid="{00000000-0005-0000-0000-0000AA020000}"/>
    <cellStyle name="Note 5 6" xfId="686" xr:uid="{00000000-0005-0000-0000-0000AB020000}"/>
    <cellStyle name="Note 5 6 2" xfId="687" xr:uid="{00000000-0005-0000-0000-0000AC020000}"/>
    <cellStyle name="Note 5 6 2 2" xfId="688" xr:uid="{00000000-0005-0000-0000-0000AD020000}"/>
    <cellStyle name="Note 5 6 3" xfId="689" xr:uid="{00000000-0005-0000-0000-0000AE020000}"/>
    <cellStyle name="Note 5 7" xfId="690" xr:uid="{00000000-0005-0000-0000-0000AF020000}"/>
    <cellStyle name="Note 5 7 2" xfId="691" xr:uid="{00000000-0005-0000-0000-0000B0020000}"/>
    <cellStyle name="Note 5 7 2 2" xfId="692" xr:uid="{00000000-0005-0000-0000-0000B1020000}"/>
    <cellStyle name="Note 5 7 3" xfId="693" xr:uid="{00000000-0005-0000-0000-0000B2020000}"/>
    <cellStyle name="Note 5 8" xfId="694" xr:uid="{00000000-0005-0000-0000-0000B3020000}"/>
    <cellStyle name="Note 5 8 2" xfId="695" xr:uid="{00000000-0005-0000-0000-0000B4020000}"/>
    <cellStyle name="Note 5 8 2 2" xfId="696" xr:uid="{00000000-0005-0000-0000-0000B5020000}"/>
    <cellStyle name="Note 5 8 3" xfId="697" xr:uid="{00000000-0005-0000-0000-0000B6020000}"/>
    <cellStyle name="Note 5 9" xfId="698" xr:uid="{00000000-0005-0000-0000-0000B7020000}"/>
    <cellStyle name="Note 5 9 2" xfId="699" xr:uid="{00000000-0005-0000-0000-0000B8020000}"/>
    <cellStyle name="Note 5 9 2 2" xfId="700" xr:uid="{00000000-0005-0000-0000-0000B9020000}"/>
    <cellStyle name="Note 5 9 3" xfId="701" xr:uid="{00000000-0005-0000-0000-0000BA020000}"/>
    <cellStyle name="Output 2" xfId="702" xr:uid="{00000000-0005-0000-0000-0000BB020000}"/>
    <cellStyle name="Output 2 2" xfId="703" xr:uid="{00000000-0005-0000-0000-0000BC020000}"/>
    <cellStyle name="Output 3" xfId="704" xr:uid="{00000000-0005-0000-0000-0000BD020000}"/>
    <cellStyle name="Output 3 10" xfId="705" xr:uid="{00000000-0005-0000-0000-0000BE020000}"/>
    <cellStyle name="Output 3 10 2" xfId="706" xr:uid="{00000000-0005-0000-0000-0000BF020000}"/>
    <cellStyle name="Output 3 11" xfId="707" xr:uid="{00000000-0005-0000-0000-0000C0020000}"/>
    <cellStyle name="Output 3 2" xfId="708" xr:uid="{00000000-0005-0000-0000-0000C1020000}"/>
    <cellStyle name="Output 3 2 10" xfId="709" xr:uid="{00000000-0005-0000-0000-0000C2020000}"/>
    <cellStyle name="Output 3 2 2" xfId="710" xr:uid="{00000000-0005-0000-0000-0000C3020000}"/>
    <cellStyle name="Output 3 2 2 2" xfId="711" xr:uid="{00000000-0005-0000-0000-0000C4020000}"/>
    <cellStyle name="Output 3 2 2 2 2" xfId="712" xr:uid="{00000000-0005-0000-0000-0000C5020000}"/>
    <cellStyle name="Output 3 2 2 3" xfId="713" xr:uid="{00000000-0005-0000-0000-0000C6020000}"/>
    <cellStyle name="Output 3 2 3" xfId="714" xr:uid="{00000000-0005-0000-0000-0000C7020000}"/>
    <cellStyle name="Output 3 2 3 2" xfId="715" xr:uid="{00000000-0005-0000-0000-0000C8020000}"/>
    <cellStyle name="Output 3 2 3 2 2" xfId="716" xr:uid="{00000000-0005-0000-0000-0000C9020000}"/>
    <cellStyle name="Output 3 2 3 3" xfId="717" xr:uid="{00000000-0005-0000-0000-0000CA020000}"/>
    <cellStyle name="Output 3 2 4" xfId="718" xr:uid="{00000000-0005-0000-0000-0000CB020000}"/>
    <cellStyle name="Output 3 2 4 2" xfId="719" xr:uid="{00000000-0005-0000-0000-0000CC020000}"/>
    <cellStyle name="Output 3 2 4 2 2" xfId="720" xr:uid="{00000000-0005-0000-0000-0000CD020000}"/>
    <cellStyle name="Output 3 2 4 3" xfId="721" xr:uid="{00000000-0005-0000-0000-0000CE020000}"/>
    <cellStyle name="Output 3 2 5" xfId="722" xr:uid="{00000000-0005-0000-0000-0000CF020000}"/>
    <cellStyle name="Output 3 2 5 2" xfId="723" xr:uid="{00000000-0005-0000-0000-0000D0020000}"/>
    <cellStyle name="Output 3 2 5 2 2" xfId="724" xr:uid="{00000000-0005-0000-0000-0000D1020000}"/>
    <cellStyle name="Output 3 2 5 3" xfId="725" xr:uid="{00000000-0005-0000-0000-0000D2020000}"/>
    <cellStyle name="Output 3 2 6" xfId="726" xr:uid="{00000000-0005-0000-0000-0000D3020000}"/>
    <cellStyle name="Output 3 2 6 2" xfId="727" xr:uid="{00000000-0005-0000-0000-0000D4020000}"/>
    <cellStyle name="Output 3 2 6 2 2" xfId="728" xr:uid="{00000000-0005-0000-0000-0000D5020000}"/>
    <cellStyle name="Output 3 2 6 3" xfId="729" xr:uid="{00000000-0005-0000-0000-0000D6020000}"/>
    <cellStyle name="Output 3 2 7" xfId="730" xr:uid="{00000000-0005-0000-0000-0000D7020000}"/>
    <cellStyle name="Output 3 2 7 2" xfId="731" xr:uid="{00000000-0005-0000-0000-0000D8020000}"/>
    <cellStyle name="Output 3 2 7 2 2" xfId="732" xr:uid="{00000000-0005-0000-0000-0000D9020000}"/>
    <cellStyle name="Output 3 2 7 3" xfId="733" xr:uid="{00000000-0005-0000-0000-0000DA020000}"/>
    <cellStyle name="Output 3 2 8" xfId="734" xr:uid="{00000000-0005-0000-0000-0000DB020000}"/>
    <cellStyle name="Output 3 2 8 2" xfId="735" xr:uid="{00000000-0005-0000-0000-0000DC020000}"/>
    <cellStyle name="Output 3 2 8 2 2" xfId="736" xr:uid="{00000000-0005-0000-0000-0000DD020000}"/>
    <cellStyle name="Output 3 2 8 3" xfId="737" xr:uid="{00000000-0005-0000-0000-0000DE020000}"/>
    <cellStyle name="Output 3 2 9" xfId="738" xr:uid="{00000000-0005-0000-0000-0000DF020000}"/>
    <cellStyle name="Output 3 2 9 2" xfId="739" xr:uid="{00000000-0005-0000-0000-0000E0020000}"/>
    <cellStyle name="Output 3 3" xfId="740" xr:uid="{00000000-0005-0000-0000-0000E1020000}"/>
    <cellStyle name="Output 3 3 2" xfId="741" xr:uid="{00000000-0005-0000-0000-0000E2020000}"/>
    <cellStyle name="Output 3 3 2 2" xfId="742" xr:uid="{00000000-0005-0000-0000-0000E3020000}"/>
    <cellStyle name="Output 3 3 3" xfId="743" xr:uid="{00000000-0005-0000-0000-0000E4020000}"/>
    <cellStyle name="Output 3 4" xfId="744" xr:uid="{00000000-0005-0000-0000-0000E5020000}"/>
    <cellStyle name="Output 3 4 2" xfId="745" xr:uid="{00000000-0005-0000-0000-0000E6020000}"/>
    <cellStyle name="Output 3 4 2 2" xfId="746" xr:uid="{00000000-0005-0000-0000-0000E7020000}"/>
    <cellStyle name="Output 3 4 3" xfId="747" xr:uid="{00000000-0005-0000-0000-0000E8020000}"/>
    <cellStyle name="Output 3 5" xfId="748" xr:uid="{00000000-0005-0000-0000-0000E9020000}"/>
    <cellStyle name="Output 3 5 2" xfId="749" xr:uid="{00000000-0005-0000-0000-0000EA020000}"/>
    <cellStyle name="Output 3 5 2 2" xfId="750" xr:uid="{00000000-0005-0000-0000-0000EB020000}"/>
    <cellStyle name="Output 3 5 3" xfId="751" xr:uid="{00000000-0005-0000-0000-0000EC020000}"/>
    <cellStyle name="Output 3 6" xfId="752" xr:uid="{00000000-0005-0000-0000-0000ED020000}"/>
    <cellStyle name="Output 3 6 2" xfId="753" xr:uid="{00000000-0005-0000-0000-0000EE020000}"/>
    <cellStyle name="Output 3 6 2 2" xfId="754" xr:uid="{00000000-0005-0000-0000-0000EF020000}"/>
    <cellStyle name="Output 3 6 3" xfId="755" xr:uid="{00000000-0005-0000-0000-0000F0020000}"/>
    <cellStyle name="Output 3 7" xfId="756" xr:uid="{00000000-0005-0000-0000-0000F1020000}"/>
    <cellStyle name="Output 3 7 2" xfId="757" xr:uid="{00000000-0005-0000-0000-0000F2020000}"/>
    <cellStyle name="Output 3 7 2 2" xfId="758" xr:uid="{00000000-0005-0000-0000-0000F3020000}"/>
    <cellStyle name="Output 3 7 3" xfId="759" xr:uid="{00000000-0005-0000-0000-0000F4020000}"/>
    <cellStyle name="Output 3 8" xfId="760" xr:uid="{00000000-0005-0000-0000-0000F5020000}"/>
    <cellStyle name="Output 3 8 2" xfId="761" xr:uid="{00000000-0005-0000-0000-0000F6020000}"/>
    <cellStyle name="Output 3 8 2 2" xfId="762" xr:uid="{00000000-0005-0000-0000-0000F7020000}"/>
    <cellStyle name="Output 3 8 3" xfId="763" xr:uid="{00000000-0005-0000-0000-0000F8020000}"/>
    <cellStyle name="Output 3 9" xfId="764" xr:uid="{00000000-0005-0000-0000-0000F9020000}"/>
    <cellStyle name="Output 3 9 2" xfId="765" xr:uid="{00000000-0005-0000-0000-0000FA020000}"/>
    <cellStyle name="Output 3 9 2 2" xfId="766" xr:uid="{00000000-0005-0000-0000-0000FB020000}"/>
    <cellStyle name="Output 3 9 3" xfId="767" xr:uid="{00000000-0005-0000-0000-0000FC020000}"/>
    <cellStyle name="Output 4" xfId="768" xr:uid="{00000000-0005-0000-0000-0000FD020000}"/>
    <cellStyle name="Output 4 10" xfId="769" xr:uid="{00000000-0005-0000-0000-0000FE020000}"/>
    <cellStyle name="Output 4 10 2" xfId="770" xr:uid="{00000000-0005-0000-0000-0000FF020000}"/>
    <cellStyle name="Output 4 11" xfId="771" xr:uid="{00000000-0005-0000-0000-000000030000}"/>
    <cellStyle name="Output 4 2" xfId="772" xr:uid="{00000000-0005-0000-0000-000001030000}"/>
    <cellStyle name="Output 4 2 10" xfId="773" xr:uid="{00000000-0005-0000-0000-000002030000}"/>
    <cellStyle name="Output 4 2 2" xfId="774" xr:uid="{00000000-0005-0000-0000-000003030000}"/>
    <cellStyle name="Output 4 2 2 2" xfId="775" xr:uid="{00000000-0005-0000-0000-000004030000}"/>
    <cellStyle name="Output 4 2 2 2 2" xfId="776" xr:uid="{00000000-0005-0000-0000-000005030000}"/>
    <cellStyle name="Output 4 2 2 3" xfId="777" xr:uid="{00000000-0005-0000-0000-000006030000}"/>
    <cellStyle name="Output 4 2 3" xfId="778" xr:uid="{00000000-0005-0000-0000-000007030000}"/>
    <cellStyle name="Output 4 2 3 2" xfId="779" xr:uid="{00000000-0005-0000-0000-000008030000}"/>
    <cellStyle name="Output 4 2 3 2 2" xfId="780" xr:uid="{00000000-0005-0000-0000-000009030000}"/>
    <cellStyle name="Output 4 2 3 3" xfId="781" xr:uid="{00000000-0005-0000-0000-00000A030000}"/>
    <cellStyle name="Output 4 2 4" xfId="782" xr:uid="{00000000-0005-0000-0000-00000B030000}"/>
    <cellStyle name="Output 4 2 4 2" xfId="783" xr:uid="{00000000-0005-0000-0000-00000C030000}"/>
    <cellStyle name="Output 4 2 4 2 2" xfId="784" xr:uid="{00000000-0005-0000-0000-00000D030000}"/>
    <cellStyle name="Output 4 2 4 3" xfId="785" xr:uid="{00000000-0005-0000-0000-00000E030000}"/>
    <cellStyle name="Output 4 2 5" xfId="786" xr:uid="{00000000-0005-0000-0000-00000F030000}"/>
    <cellStyle name="Output 4 2 5 2" xfId="787" xr:uid="{00000000-0005-0000-0000-000010030000}"/>
    <cellStyle name="Output 4 2 5 2 2" xfId="788" xr:uid="{00000000-0005-0000-0000-000011030000}"/>
    <cellStyle name="Output 4 2 5 3" xfId="789" xr:uid="{00000000-0005-0000-0000-000012030000}"/>
    <cellStyle name="Output 4 2 6" xfId="790" xr:uid="{00000000-0005-0000-0000-000013030000}"/>
    <cellStyle name="Output 4 2 6 2" xfId="791" xr:uid="{00000000-0005-0000-0000-000014030000}"/>
    <cellStyle name="Output 4 2 6 2 2" xfId="792" xr:uid="{00000000-0005-0000-0000-000015030000}"/>
    <cellStyle name="Output 4 2 6 3" xfId="793" xr:uid="{00000000-0005-0000-0000-000016030000}"/>
    <cellStyle name="Output 4 2 7" xfId="794" xr:uid="{00000000-0005-0000-0000-000017030000}"/>
    <cellStyle name="Output 4 2 7 2" xfId="795" xr:uid="{00000000-0005-0000-0000-000018030000}"/>
    <cellStyle name="Output 4 2 7 2 2" xfId="796" xr:uid="{00000000-0005-0000-0000-000019030000}"/>
    <cellStyle name="Output 4 2 7 3" xfId="797" xr:uid="{00000000-0005-0000-0000-00001A030000}"/>
    <cellStyle name="Output 4 2 8" xfId="798" xr:uid="{00000000-0005-0000-0000-00001B030000}"/>
    <cellStyle name="Output 4 2 8 2" xfId="799" xr:uid="{00000000-0005-0000-0000-00001C030000}"/>
    <cellStyle name="Output 4 2 8 2 2" xfId="800" xr:uid="{00000000-0005-0000-0000-00001D030000}"/>
    <cellStyle name="Output 4 2 8 3" xfId="801" xr:uid="{00000000-0005-0000-0000-00001E030000}"/>
    <cellStyle name="Output 4 2 9" xfId="802" xr:uid="{00000000-0005-0000-0000-00001F030000}"/>
    <cellStyle name="Output 4 2 9 2" xfId="803" xr:uid="{00000000-0005-0000-0000-000020030000}"/>
    <cellStyle name="Output 4 3" xfId="804" xr:uid="{00000000-0005-0000-0000-000021030000}"/>
    <cellStyle name="Output 4 3 2" xfId="805" xr:uid="{00000000-0005-0000-0000-000022030000}"/>
    <cellStyle name="Output 4 3 2 2" xfId="806" xr:uid="{00000000-0005-0000-0000-000023030000}"/>
    <cellStyle name="Output 4 3 3" xfId="807" xr:uid="{00000000-0005-0000-0000-000024030000}"/>
    <cellStyle name="Output 4 4" xfId="808" xr:uid="{00000000-0005-0000-0000-000025030000}"/>
    <cellStyle name="Output 4 4 2" xfId="809" xr:uid="{00000000-0005-0000-0000-000026030000}"/>
    <cellStyle name="Output 4 4 2 2" xfId="810" xr:uid="{00000000-0005-0000-0000-000027030000}"/>
    <cellStyle name="Output 4 4 3" xfId="811" xr:uid="{00000000-0005-0000-0000-000028030000}"/>
    <cellStyle name="Output 4 5" xfId="812" xr:uid="{00000000-0005-0000-0000-000029030000}"/>
    <cellStyle name="Output 4 5 2" xfId="813" xr:uid="{00000000-0005-0000-0000-00002A030000}"/>
    <cellStyle name="Output 4 5 2 2" xfId="814" xr:uid="{00000000-0005-0000-0000-00002B030000}"/>
    <cellStyle name="Output 4 5 3" xfId="815" xr:uid="{00000000-0005-0000-0000-00002C030000}"/>
    <cellStyle name="Output 4 6" xfId="816" xr:uid="{00000000-0005-0000-0000-00002D030000}"/>
    <cellStyle name="Output 4 6 2" xfId="817" xr:uid="{00000000-0005-0000-0000-00002E030000}"/>
    <cellStyle name="Output 4 6 2 2" xfId="818" xr:uid="{00000000-0005-0000-0000-00002F030000}"/>
    <cellStyle name="Output 4 6 3" xfId="819" xr:uid="{00000000-0005-0000-0000-000030030000}"/>
    <cellStyle name="Output 4 7" xfId="820" xr:uid="{00000000-0005-0000-0000-000031030000}"/>
    <cellStyle name="Output 4 7 2" xfId="821" xr:uid="{00000000-0005-0000-0000-000032030000}"/>
    <cellStyle name="Output 4 7 2 2" xfId="822" xr:uid="{00000000-0005-0000-0000-000033030000}"/>
    <cellStyle name="Output 4 7 3" xfId="823" xr:uid="{00000000-0005-0000-0000-000034030000}"/>
    <cellStyle name="Output 4 8" xfId="824" xr:uid="{00000000-0005-0000-0000-000035030000}"/>
    <cellStyle name="Output 4 8 2" xfId="825" xr:uid="{00000000-0005-0000-0000-000036030000}"/>
    <cellStyle name="Output 4 8 2 2" xfId="826" xr:uid="{00000000-0005-0000-0000-000037030000}"/>
    <cellStyle name="Output 4 8 3" xfId="827" xr:uid="{00000000-0005-0000-0000-000038030000}"/>
    <cellStyle name="Output 4 9" xfId="828" xr:uid="{00000000-0005-0000-0000-000039030000}"/>
    <cellStyle name="Output 4 9 2" xfId="829" xr:uid="{00000000-0005-0000-0000-00003A030000}"/>
    <cellStyle name="Output 4 9 2 2" xfId="830" xr:uid="{00000000-0005-0000-0000-00003B030000}"/>
    <cellStyle name="Output 4 9 3" xfId="831" xr:uid="{00000000-0005-0000-0000-00003C030000}"/>
    <cellStyle name="Percent 2" xfId="24" xr:uid="{00000000-0005-0000-0000-00003D030000}"/>
    <cellStyle name="Percent 2 2" xfId="832" xr:uid="{00000000-0005-0000-0000-00003E030000}"/>
    <cellStyle name="Percent 2 3" xfId="833" xr:uid="{00000000-0005-0000-0000-00003F030000}"/>
    <cellStyle name="Percent 3" xfId="25" xr:uid="{00000000-0005-0000-0000-000040030000}"/>
    <cellStyle name="Percent 3 2" xfId="834" xr:uid="{00000000-0005-0000-0000-000041030000}"/>
    <cellStyle name="Percent 4" xfId="26" xr:uid="{00000000-0005-0000-0000-000042030000}"/>
    <cellStyle name="Percent 5" xfId="27" xr:uid="{00000000-0005-0000-0000-000043030000}"/>
    <cellStyle name="SectionHeaderNormal" xfId="835" xr:uid="{00000000-0005-0000-0000-000044030000}"/>
    <cellStyle name="SubScript" xfId="836" xr:uid="{00000000-0005-0000-0000-000045030000}"/>
    <cellStyle name="SuperScript" xfId="837" xr:uid="{00000000-0005-0000-0000-000046030000}"/>
    <cellStyle name="TextBold" xfId="838" xr:uid="{00000000-0005-0000-0000-000047030000}"/>
    <cellStyle name="TextItalic" xfId="839" xr:uid="{00000000-0005-0000-0000-000048030000}"/>
    <cellStyle name="TextNormal" xfId="840" xr:uid="{00000000-0005-0000-0000-000049030000}"/>
    <cellStyle name="Title 2" xfId="841" xr:uid="{00000000-0005-0000-0000-00004A030000}"/>
    <cellStyle name="Title 2 2" xfId="842" xr:uid="{00000000-0005-0000-0000-00004B030000}"/>
    <cellStyle name="Title 3" xfId="843" xr:uid="{00000000-0005-0000-0000-00004C030000}"/>
    <cellStyle name="Title 4" xfId="844" xr:uid="{00000000-0005-0000-0000-00004D030000}"/>
    <cellStyle name="TitleNormal" xfId="845" xr:uid="{00000000-0005-0000-0000-00004E030000}"/>
    <cellStyle name="Total 2" xfId="846" xr:uid="{00000000-0005-0000-0000-00004F030000}"/>
    <cellStyle name="Total 2 2" xfId="847" xr:uid="{00000000-0005-0000-0000-000050030000}"/>
    <cellStyle name="Total 3" xfId="848" xr:uid="{00000000-0005-0000-0000-000051030000}"/>
    <cellStyle name="Total 3 10" xfId="849" xr:uid="{00000000-0005-0000-0000-000052030000}"/>
    <cellStyle name="Total 3 10 2" xfId="850" xr:uid="{00000000-0005-0000-0000-000053030000}"/>
    <cellStyle name="Total 3 11" xfId="851" xr:uid="{00000000-0005-0000-0000-000054030000}"/>
    <cellStyle name="Total 3 2" xfId="852" xr:uid="{00000000-0005-0000-0000-000055030000}"/>
    <cellStyle name="Total 3 2 10" xfId="853" xr:uid="{00000000-0005-0000-0000-000056030000}"/>
    <cellStyle name="Total 3 2 2" xfId="854" xr:uid="{00000000-0005-0000-0000-000057030000}"/>
    <cellStyle name="Total 3 2 2 2" xfId="855" xr:uid="{00000000-0005-0000-0000-000058030000}"/>
    <cellStyle name="Total 3 2 2 2 2" xfId="856" xr:uid="{00000000-0005-0000-0000-000059030000}"/>
    <cellStyle name="Total 3 2 2 3" xfId="857" xr:uid="{00000000-0005-0000-0000-00005A030000}"/>
    <cellStyle name="Total 3 2 3" xfId="858" xr:uid="{00000000-0005-0000-0000-00005B030000}"/>
    <cellStyle name="Total 3 2 3 2" xfId="859" xr:uid="{00000000-0005-0000-0000-00005C030000}"/>
    <cellStyle name="Total 3 2 3 2 2" xfId="860" xr:uid="{00000000-0005-0000-0000-00005D030000}"/>
    <cellStyle name="Total 3 2 3 3" xfId="861" xr:uid="{00000000-0005-0000-0000-00005E030000}"/>
    <cellStyle name="Total 3 2 4" xfId="862" xr:uid="{00000000-0005-0000-0000-00005F030000}"/>
    <cellStyle name="Total 3 2 4 2" xfId="863" xr:uid="{00000000-0005-0000-0000-000060030000}"/>
    <cellStyle name="Total 3 2 4 2 2" xfId="864" xr:uid="{00000000-0005-0000-0000-000061030000}"/>
    <cellStyle name="Total 3 2 4 3" xfId="865" xr:uid="{00000000-0005-0000-0000-000062030000}"/>
    <cellStyle name="Total 3 2 5" xfId="866" xr:uid="{00000000-0005-0000-0000-000063030000}"/>
    <cellStyle name="Total 3 2 5 2" xfId="867" xr:uid="{00000000-0005-0000-0000-000064030000}"/>
    <cellStyle name="Total 3 2 5 2 2" xfId="868" xr:uid="{00000000-0005-0000-0000-000065030000}"/>
    <cellStyle name="Total 3 2 5 3" xfId="869" xr:uid="{00000000-0005-0000-0000-000066030000}"/>
    <cellStyle name="Total 3 2 6" xfId="870" xr:uid="{00000000-0005-0000-0000-000067030000}"/>
    <cellStyle name="Total 3 2 6 2" xfId="871" xr:uid="{00000000-0005-0000-0000-000068030000}"/>
    <cellStyle name="Total 3 2 6 2 2" xfId="872" xr:uid="{00000000-0005-0000-0000-000069030000}"/>
    <cellStyle name="Total 3 2 6 3" xfId="873" xr:uid="{00000000-0005-0000-0000-00006A030000}"/>
    <cellStyle name="Total 3 2 7" xfId="874" xr:uid="{00000000-0005-0000-0000-00006B030000}"/>
    <cellStyle name="Total 3 2 7 2" xfId="875" xr:uid="{00000000-0005-0000-0000-00006C030000}"/>
    <cellStyle name="Total 3 2 7 2 2" xfId="876" xr:uid="{00000000-0005-0000-0000-00006D030000}"/>
    <cellStyle name="Total 3 2 7 3" xfId="877" xr:uid="{00000000-0005-0000-0000-00006E030000}"/>
    <cellStyle name="Total 3 2 8" xfId="878" xr:uid="{00000000-0005-0000-0000-00006F030000}"/>
    <cellStyle name="Total 3 2 8 2" xfId="879" xr:uid="{00000000-0005-0000-0000-000070030000}"/>
    <cellStyle name="Total 3 2 8 2 2" xfId="880" xr:uid="{00000000-0005-0000-0000-000071030000}"/>
    <cellStyle name="Total 3 2 8 3" xfId="881" xr:uid="{00000000-0005-0000-0000-000072030000}"/>
    <cellStyle name="Total 3 2 9" xfId="882" xr:uid="{00000000-0005-0000-0000-000073030000}"/>
    <cellStyle name="Total 3 2 9 2" xfId="883" xr:uid="{00000000-0005-0000-0000-000074030000}"/>
    <cellStyle name="Total 3 3" xfId="884" xr:uid="{00000000-0005-0000-0000-000075030000}"/>
    <cellStyle name="Total 3 3 2" xfId="885" xr:uid="{00000000-0005-0000-0000-000076030000}"/>
    <cellStyle name="Total 3 3 2 2" xfId="886" xr:uid="{00000000-0005-0000-0000-000077030000}"/>
    <cellStyle name="Total 3 3 3" xfId="887" xr:uid="{00000000-0005-0000-0000-000078030000}"/>
    <cellStyle name="Total 3 4" xfId="888" xr:uid="{00000000-0005-0000-0000-000079030000}"/>
    <cellStyle name="Total 3 4 2" xfId="889" xr:uid="{00000000-0005-0000-0000-00007A030000}"/>
    <cellStyle name="Total 3 4 2 2" xfId="890" xr:uid="{00000000-0005-0000-0000-00007B030000}"/>
    <cellStyle name="Total 3 4 3" xfId="891" xr:uid="{00000000-0005-0000-0000-00007C030000}"/>
    <cellStyle name="Total 3 5" xfId="892" xr:uid="{00000000-0005-0000-0000-00007D030000}"/>
    <cellStyle name="Total 3 5 2" xfId="893" xr:uid="{00000000-0005-0000-0000-00007E030000}"/>
    <cellStyle name="Total 3 5 2 2" xfId="894" xr:uid="{00000000-0005-0000-0000-00007F030000}"/>
    <cellStyle name="Total 3 5 3" xfId="895" xr:uid="{00000000-0005-0000-0000-000080030000}"/>
    <cellStyle name="Total 3 6" xfId="896" xr:uid="{00000000-0005-0000-0000-000081030000}"/>
    <cellStyle name="Total 3 6 2" xfId="897" xr:uid="{00000000-0005-0000-0000-000082030000}"/>
    <cellStyle name="Total 3 6 2 2" xfId="898" xr:uid="{00000000-0005-0000-0000-000083030000}"/>
    <cellStyle name="Total 3 6 3" xfId="899" xr:uid="{00000000-0005-0000-0000-000084030000}"/>
    <cellStyle name="Total 3 7" xfId="900" xr:uid="{00000000-0005-0000-0000-000085030000}"/>
    <cellStyle name="Total 3 7 2" xfId="901" xr:uid="{00000000-0005-0000-0000-000086030000}"/>
    <cellStyle name="Total 3 7 2 2" xfId="902" xr:uid="{00000000-0005-0000-0000-000087030000}"/>
    <cellStyle name="Total 3 7 3" xfId="903" xr:uid="{00000000-0005-0000-0000-000088030000}"/>
    <cellStyle name="Total 3 8" xfId="904" xr:uid="{00000000-0005-0000-0000-000089030000}"/>
    <cellStyle name="Total 3 8 2" xfId="905" xr:uid="{00000000-0005-0000-0000-00008A030000}"/>
    <cellStyle name="Total 3 8 2 2" xfId="906" xr:uid="{00000000-0005-0000-0000-00008B030000}"/>
    <cellStyle name="Total 3 8 3" xfId="907" xr:uid="{00000000-0005-0000-0000-00008C030000}"/>
    <cellStyle name="Total 3 9" xfId="908" xr:uid="{00000000-0005-0000-0000-00008D030000}"/>
    <cellStyle name="Total 3 9 2" xfId="909" xr:uid="{00000000-0005-0000-0000-00008E030000}"/>
    <cellStyle name="Total 3 9 2 2" xfId="910" xr:uid="{00000000-0005-0000-0000-00008F030000}"/>
    <cellStyle name="Total 3 9 3" xfId="911" xr:uid="{00000000-0005-0000-0000-000090030000}"/>
    <cellStyle name="Total 4" xfId="912" xr:uid="{00000000-0005-0000-0000-000091030000}"/>
    <cellStyle name="Total 4 10" xfId="913" xr:uid="{00000000-0005-0000-0000-000092030000}"/>
    <cellStyle name="Total 4 10 2" xfId="914" xr:uid="{00000000-0005-0000-0000-000093030000}"/>
    <cellStyle name="Total 4 11" xfId="915" xr:uid="{00000000-0005-0000-0000-000094030000}"/>
    <cellStyle name="Total 4 2" xfId="916" xr:uid="{00000000-0005-0000-0000-000095030000}"/>
    <cellStyle name="Total 4 2 10" xfId="917" xr:uid="{00000000-0005-0000-0000-000096030000}"/>
    <cellStyle name="Total 4 2 2" xfId="918" xr:uid="{00000000-0005-0000-0000-000097030000}"/>
    <cellStyle name="Total 4 2 2 2" xfId="919" xr:uid="{00000000-0005-0000-0000-000098030000}"/>
    <cellStyle name="Total 4 2 2 2 2" xfId="920" xr:uid="{00000000-0005-0000-0000-000099030000}"/>
    <cellStyle name="Total 4 2 2 3" xfId="921" xr:uid="{00000000-0005-0000-0000-00009A030000}"/>
    <cellStyle name="Total 4 2 3" xfId="922" xr:uid="{00000000-0005-0000-0000-00009B030000}"/>
    <cellStyle name="Total 4 2 3 2" xfId="923" xr:uid="{00000000-0005-0000-0000-00009C030000}"/>
    <cellStyle name="Total 4 2 3 2 2" xfId="924" xr:uid="{00000000-0005-0000-0000-00009D030000}"/>
    <cellStyle name="Total 4 2 3 3" xfId="925" xr:uid="{00000000-0005-0000-0000-00009E030000}"/>
    <cellStyle name="Total 4 2 4" xfId="926" xr:uid="{00000000-0005-0000-0000-00009F030000}"/>
    <cellStyle name="Total 4 2 4 2" xfId="927" xr:uid="{00000000-0005-0000-0000-0000A0030000}"/>
    <cellStyle name="Total 4 2 4 2 2" xfId="928" xr:uid="{00000000-0005-0000-0000-0000A1030000}"/>
    <cellStyle name="Total 4 2 4 3" xfId="929" xr:uid="{00000000-0005-0000-0000-0000A2030000}"/>
    <cellStyle name="Total 4 2 5" xfId="930" xr:uid="{00000000-0005-0000-0000-0000A3030000}"/>
    <cellStyle name="Total 4 2 5 2" xfId="931" xr:uid="{00000000-0005-0000-0000-0000A4030000}"/>
    <cellStyle name="Total 4 2 5 2 2" xfId="932" xr:uid="{00000000-0005-0000-0000-0000A5030000}"/>
    <cellStyle name="Total 4 2 5 3" xfId="933" xr:uid="{00000000-0005-0000-0000-0000A6030000}"/>
    <cellStyle name="Total 4 2 6" xfId="934" xr:uid="{00000000-0005-0000-0000-0000A7030000}"/>
    <cellStyle name="Total 4 2 6 2" xfId="935" xr:uid="{00000000-0005-0000-0000-0000A8030000}"/>
    <cellStyle name="Total 4 2 6 2 2" xfId="936" xr:uid="{00000000-0005-0000-0000-0000A9030000}"/>
    <cellStyle name="Total 4 2 6 3" xfId="937" xr:uid="{00000000-0005-0000-0000-0000AA030000}"/>
    <cellStyle name="Total 4 2 7" xfId="938" xr:uid="{00000000-0005-0000-0000-0000AB030000}"/>
    <cellStyle name="Total 4 2 7 2" xfId="939" xr:uid="{00000000-0005-0000-0000-0000AC030000}"/>
    <cellStyle name="Total 4 2 7 2 2" xfId="940" xr:uid="{00000000-0005-0000-0000-0000AD030000}"/>
    <cellStyle name="Total 4 2 7 3" xfId="941" xr:uid="{00000000-0005-0000-0000-0000AE030000}"/>
    <cellStyle name="Total 4 2 8" xfId="942" xr:uid="{00000000-0005-0000-0000-0000AF030000}"/>
    <cellStyle name="Total 4 2 8 2" xfId="943" xr:uid="{00000000-0005-0000-0000-0000B0030000}"/>
    <cellStyle name="Total 4 2 8 2 2" xfId="944" xr:uid="{00000000-0005-0000-0000-0000B1030000}"/>
    <cellStyle name="Total 4 2 8 3" xfId="945" xr:uid="{00000000-0005-0000-0000-0000B2030000}"/>
    <cellStyle name="Total 4 2 9" xfId="946" xr:uid="{00000000-0005-0000-0000-0000B3030000}"/>
    <cellStyle name="Total 4 2 9 2" xfId="947" xr:uid="{00000000-0005-0000-0000-0000B4030000}"/>
    <cellStyle name="Total 4 3" xfId="948" xr:uid="{00000000-0005-0000-0000-0000B5030000}"/>
    <cellStyle name="Total 4 3 2" xfId="949" xr:uid="{00000000-0005-0000-0000-0000B6030000}"/>
    <cellStyle name="Total 4 3 2 2" xfId="950" xr:uid="{00000000-0005-0000-0000-0000B7030000}"/>
    <cellStyle name="Total 4 3 3" xfId="951" xr:uid="{00000000-0005-0000-0000-0000B8030000}"/>
    <cellStyle name="Total 4 4" xfId="952" xr:uid="{00000000-0005-0000-0000-0000B9030000}"/>
    <cellStyle name="Total 4 4 2" xfId="953" xr:uid="{00000000-0005-0000-0000-0000BA030000}"/>
    <cellStyle name="Total 4 4 2 2" xfId="954" xr:uid="{00000000-0005-0000-0000-0000BB030000}"/>
    <cellStyle name="Total 4 4 3" xfId="955" xr:uid="{00000000-0005-0000-0000-0000BC030000}"/>
    <cellStyle name="Total 4 5" xfId="956" xr:uid="{00000000-0005-0000-0000-0000BD030000}"/>
    <cellStyle name="Total 4 5 2" xfId="957" xr:uid="{00000000-0005-0000-0000-0000BE030000}"/>
    <cellStyle name="Total 4 5 2 2" xfId="958" xr:uid="{00000000-0005-0000-0000-0000BF030000}"/>
    <cellStyle name="Total 4 5 3" xfId="959" xr:uid="{00000000-0005-0000-0000-0000C0030000}"/>
    <cellStyle name="Total 4 6" xfId="960" xr:uid="{00000000-0005-0000-0000-0000C1030000}"/>
    <cellStyle name="Total 4 6 2" xfId="961" xr:uid="{00000000-0005-0000-0000-0000C2030000}"/>
    <cellStyle name="Total 4 6 2 2" xfId="962" xr:uid="{00000000-0005-0000-0000-0000C3030000}"/>
    <cellStyle name="Total 4 6 3" xfId="963" xr:uid="{00000000-0005-0000-0000-0000C4030000}"/>
    <cellStyle name="Total 4 7" xfId="964" xr:uid="{00000000-0005-0000-0000-0000C5030000}"/>
    <cellStyle name="Total 4 7 2" xfId="965" xr:uid="{00000000-0005-0000-0000-0000C6030000}"/>
    <cellStyle name="Total 4 7 2 2" xfId="966" xr:uid="{00000000-0005-0000-0000-0000C7030000}"/>
    <cellStyle name="Total 4 7 3" xfId="967" xr:uid="{00000000-0005-0000-0000-0000C8030000}"/>
    <cellStyle name="Total 4 8" xfId="968" xr:uid="{00000000-0005-0000-0000-0000C9030000}"/>
    <cellStyle name="Total 4 8 2" xfId="969" xr:uid="{00000000-0005-0000-0000-0000CA030000}"/>
    <cellStyle name="Total 4 8 2 2" xfId="970" xr:uid="{00000000-0005-0000-0000-0000CB030000}"/>
    <cellStyle name="Total 4 8 3" xfId="971" xr:uid="{00000000-0005-0000-0000-0000CC030000}"/>
    <cellStyle name="Total 4 9" xfId="972" xr:uid="{00000000-0005-0000-0000-0000CD030000}"/>
    <cellStyle name="Total 4 9 2" xfId="973" xr:uid="{00000000-0005-0000-0000-0000CE030000}"/>
    <cellStyle name="Total 4 9 2 2" xfId="974" xr:uid="{00000000-0005-0000-0000-0000CF030000}"/>
    <cellStyle name="Total 4 9 3" xfId="975" xr:uid="{00000000-0005-0000-0000-0000D0030000}"/>
    <cellStyle name="Warning Text 2" xfId="976" xr:uid="{00000000-0005-0000-0000-0000D1030000}"/>
    <cellStyle name="Warning Text 2 2" xfId="977" xr:uid="{00000000-0005-0000-0000-0000D2030000}"/>
    <cellStyle name="Warning Text 3" xfId="978" xr:uid="{00000000-0005-0000-0000-0000D3030000}"/>
    <cellStyle name="Warning Text 4" xfId="979" xr:uid="{00000000-0005-0000-0000-0000D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152400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jones.DCPUBLICCHARTER/AppData/Local/Microsoft/Windows/Temporary%20Internet%20Files/Content.IE5/D30380PT/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HP/AppData/Local/Temp/Leberkaese/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loi@centercitypcs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9"/>
  <sheetViews>
    <sheetView showGridLines="0" zoomScaleNormal="100" zoomScaleSheetLayoutView="100" workbookViewId="0">
      <selection activeCell="A9" sqref="A9"/>
    </sheetView>
  </sheetViews>
  <sheetFormatPr baseColWidth="10" defaultColWidth="9.1640625" defaultRowHeight="13" x14ac:dyDescent="0.15"/>
  <cols>
    <col min="1" max="1" width="49.6640625" style="58" bestFit="1" customWidth="1"/>
    <col min="2" max="3" width="9.1640625" style="58"/>
    <col min="4" max="4" width="52.5" style="58" customWidth="1"/>
    <col min="5" max="16384" width="9.1640625" style="58"/>
  </cols>
  <sheetData>
    <row r="1" spans="1:1" x14ac:dyDescent="0.15">
      <c r="A1" s="57" t="s">
        <v>135</v>
      </c>
    </row>
    <row r="2" spans="1:1" x14ac:dyDescent="0.15">
      <c r="A2" s="59" t="s">
        <v>184</v>
      </c>
    </row>
    <row r="4" spans="1:1" x14ac:dyDescent="0.15">
      <c r="A4" s="59" t="s">
        <v>185</v>
      </c>
    </row>
    <row r="5" spans="1:1" ht="15" x14ac:dyDescent="0.2">
      <c r="A5" s="87" t="s">
        <v>186</v>
      </c>
    </row>
    <row r="6" spans="1:1" x14ac:dyDescent="0.15">
      <c r="A6" s="59" t="s">
        <v>187</v>
      </c>
    </row>
    <row r="8" spans="1:1" x14ac:dyDescent="0.15">
      <c r="A8" s="88" t="s">
        <v>188</v>
      </c>
    </row>
    <row r="9" spans="1:1" x14ac:dyDescent="0.15">
      <c r="A9" s="59" t="s">
        <v>136</v>
      </c>
    </row>
  </sheetData>
  <hyperlinks>
    <hyperlink ref="A5" r:id="rId1" xr:uid="{1B829A93-5CC2-4849-A245-F33FF6678929}"/>
  </hyperlinks>
  <pageMargins left="0.7" right="0.7" top="0.75" bottom="0.75" header="0.3" footer="0.3"/>
  <pageSetup paperSize="12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67"/>
  <sheetViews>
    <sheetView showGridLines="0" zoomScale="115" zoomScaleNormal="115" zoomScaleSheetLayoutView="100" zoomScalePageLayoutView="115" workbookViewId="0">
      <selection activeCell="B3" sqref="B3"/>
    </sheetView>
  </sheetViews>
  <sheetFormatPr baseColWidth="10" defaultColWidth="7.5" defaultRowHeight="13" x14ac:dyDescent="0.15"/>
  <cols>
    <col min="1" max="1" width="31.5" style="3" customWidth="1"/>
    <col min="2" max="4" width="15.83203125" style="34" customWidth="1"/>
    <col min="5" max="5" width="12" style="3" bestFit="1" customWidth="1"/>
    <col min="6" max="6" width="11.1640625" style="3" bestFit="1" customWidth="1"/>
    <col min="7" max="16384" width="7.5" style="3"/>
  </cols>
  <sheetData>
    <row r="1" spans="1:4" x14ac:dyDescent="0.15">
      <c r="A1" s="60" t="str">
        <f>'Cover Sheet'!A2</f>
        <v>Center City Public Charter Schools</v>
      </c>
    </row>
    <row r="2" spans="1:4" x14ac:dyDescent="0.15">
      <c r="A2" s="3" t="str">
        <f>'Cover Sheet'!A8&amp;" Enrollment Data"</f>
        <v>FY2019 Enrollment Data</v>
      </c>
    </row>
    <row r="3" spans="1:4" x14ac:dyDescent="0.15">
      <c r="A3" s="13"/>
      <c r="B3" s="14"/>
      <c r="C3" s="15"/>
      <c r="D3" s="15"/>
    </row>
    <row r="4" spans="1:4" ht="31.5" customHeight="1" x14ac:dyDescent="0.15">
      <c r="A4" s="112" t="s">
        <v>38</v>
      </c>
      <c r="B4" s="111" t="s">
        <v>81</v>
      </c>
      <c r="C4" s="111" t="s">
        <v>122</v>
      </c>
      <c r="D4" s="111" t="s">
        <v>121</v>
      </c>
    </row>
    <row r="5" spans="1:4" ht="16.5" customHeight="1" x14ac:dyDescent="0.15">
      <c r="A5" s="113"/>
      <c r="B5" s="111"/>
      <c r="C5" s="111"/>
      <c r="D5" s="111"/>
    </row>
    <row r="6" spans="1:4" ht="12.75" customHeight="1" x14ac:dyDescent="0.15">
      <c r="A6" s="8" t="s">
        <v>39</v>
      </c>
      <c r="B6" s="81">
        <v>68</v>
      </c>
      <c r="C6" s="81">
        <v>66</v>
      </c>
      <c r="D6" s="81"/>
    </row>
    <row r="7" spans="1:4" ht="12.75" customHeight="1" x14ac:dyDescent="0.15">
      <c r="A7" s="8" t="s">
        <v>40</v>
      </c>
      <c r="B7" s="81">
        <v>124</v>
      </c>
      <c r="C7" s="81">
        <v>105</v>
      </c>
      <c r="D7" s="81"/>
    </row>
    <row r="8" spans="1:4" ht="12.75" customHeight="1" x14ac:dyDescent="0.15">
      <c r="A8" s="8" t="s">
        <v>41</v>
      </c>
      <c r="B8" s="81">
        <v>117</v>
      </c>
      <c r="C8" s="81">
        <v>125</v>
      </c>
      <c r="D8" s="81"/>
    </row>
    <row r="9" spans="1:4" ht="12.75" customHeight="1" x14ac:dyDescent="0.15">
      <c r="A9" s="8" t="s">
        <v>42</v>
      </c>
      <c r="B9" s="81">
        <v>148</v>
      </c>
      <c r="C9" s="81">
        <v>129</v>
      </c>
      <c r="D9" s="81"/>
    </row>
    <row r="10" spans="1:4" ht="12.75" customHeight="1" x14ac:dyDescent="0.15">
      <c r="A10" s="8" t="s">
        <v>43</v>
      </c>
      <c r="B10" s="81">
        <v>137</v>
      </c>
      <c r="C10" s="81">
        <v>152</v>
      </c>
      <c r="D10" s="81"/>
    </row>
    <row r="11" spans="1:4" ht="12.75" customHeight="1" x14ac:dyDescent="0.15">
      <c r="A11" s="8" t="s">
        <v>44</v>
      </c>
      <c r="B11" s="81">
        <v>155</v>
      </c>
      <c r="C11" s="81">
        <v>146</v>
      </c>
      <c r="D11" s="81"/>
    </row>
    <row r="12" spans="1:4" ht="12.75" customHeight="1" x14ac:dyDescent="0.15">
      <c r="A12" s="8" t="s">
        <v>45</v>
      </c>
      <c r="B12" s="81">
        <v>157</v>
      </c>
      <c r="C12" s="81">
        <v>153</v>
      </c>
      <c r="D12" s="81"/>
    </row>
    <row r="13" spans="1:4" ht="12.75" customHeight="1" x14ac:dyDescent="0.15">
      <c r="A13" s="8" t="s">
        <v>46</v>
      </c>
      <c r="B13" s="81">
        <v>143</v>
      </c>
      <c r="C13" s="81">
        <v>157</v>
      </c>
      <c r="D13" s="81"/>
    </row>
    <row r="14" spans="1:4" ht="12.75" customHeight="1" x14ac:dyDescent="0.15">
      <c r="A14" s="9" t="s">
        <v>47</v>
      </c>
      <c r="B14" s="81">
        <v>152</v>
      </c>
      <c r="C14" s="81">
        <v>145</v>
      </c>
      <c r="D14" s="81"/>
    </row>
    <row r="15" spans="1:4" ht="12.75" customHeight="1" x14ac:dyDescent="0.15">
      <c r="A15" s="9" t="s">
        <v>48</v>
      </c>
      <c r="B15" s="81">
        <v>137</v>
      </c>
      <c r="C15" s="81">
        <v>150</v>
      </c>
      <c r="D15" s="81"/>
    </row>
    <row r="16" spans="1:4" ht="12.75" customHeight="1" x14ac:dyDescent="0.15">
      <c r="A16" s="9" t="s">
        <v>49</v>
      </c>
      <c r="B16" s="81">
        <v>131</v>
      </c>
      <c r="C16" s="81">
        <v>136</v>
      </c>
      <c r="D16" s="81"/>
    </row>
    <row r="17" spans="1:4" ht="12.75" customHeight="1" x14ac:dyDescent="0.15">
      <c r="A17" s="8" t="s">
        <v>50</v>
      </c>
      <c r="B17" s="81"/>
      <c r="C17" s="81"/>
      <c r="D17" s="81"/>
    </row>
    <row r="18" spans="1:4" ht="12.75" customHeight="1" x14ac:dyDescent="0.15">
      <c r="A18" s="8" t="s">
        <v>51</v>
      </c>
      <c r="B18" s="81"/>
      <c r="C18" s="81"/>
      <c r="D18" s="81"/>
    </row>
    <row r="19" spans="1:4" ht="12.75" customHeight="1" x14ac:dyDescent="0.15">
      <c r="A19" s="8" t="s">
        <v>52</v>
      </c>
      <c r="B19" s="81"/>
      <c r="C19" s="81"/>
      <c r="D19" s="81"/>
    </row>
    <row r="20" spans="1:4" ht="12.75" customHeight="1" x14ac:dyDescent="0.15">
      <c r="A20" s="8" t="s">
        <v>53</v>
      </c>
      <c r="B20" s="81"/>
      <c r="C20" s="81"/>
      <c r="D20" s="81"/>
    </row>
    <row r="21" spans="1:4" ht="12.75" customHeight="1" x14ac:dyDescent="0.15">
      <c r="A21" s="8" t="s">
        <v>54</v>
      </c>
      <c r="B21" s="81"/>
      <c r="C21" s="81"/>
      <c r="D21" s="81"/>
    </row>
    <row r="22" spans="1:4" ht="12.75" customHeight="1" x14ac:dyDescent="0.15">
      <c r="A22" s="8" t="s">
        <v>55</v>
      </c>
      <c r="B22" s="81"/>
      <c r="C22" s="81"/>
      <c r="D22" s="81"/>
    </row>
    <row r="23" spans="1:4" ht="13.5" customHeight="1" x14ac:dyDescent="0.15">
      <c r="A23" s="9" t="s">
        <v>56</v>
      </c>
      <c r="B23" s="81"/>
      <c r="C23" s="81"/>
      <c r="D23" s="81"/>
    </row>
    <row r="24" spans="1:4" x14ac:dyDescent="0.15">
      <c r="A24" s="16" t="s">
        <v>57</v>
      </c>
      <c r="B24" s="89">
        <f>SUM(B6:B23)</f>
        <v>1469</v>
      </c>
      <c r="C24" s="89">
        <f>SUM(C6:C23)</f>
        <v>1464</v>
      </c>
      <c r="D24" s="89">
        <f>SUM(D6:D23)</f>
        <v>0</v>
      </c>
    </row>
    <row r="25" spans="1:4" x14ac:dyDescent="0.15">
      <c r="A25" s="17"/>
      <c r="B25" s="18"/>
      <c r="C25" s="11"/>
      <c r="D25" s="11"/>
    </row>
    <row r="26" spans="1:4" ht="26" x14ac:dyDescent="0.15">
      <c r="A26" s="16" t="s">
        <v>58</v>
      </c>
      <c r="B26" s="19" t="str">
        <f>B4</f>
        <v>Previous Year's Enrollment</v>
      </c>
      <c r="C26" s="19" t="str">
        <f>C4</f>
        <v>Budgeted Enrollment</v>
      </c>
      <c r="D26" s="19" t="str">
        <f>D4</f>
        <v>Audited Enrollment</v>
      </c>
    </row>
    <row r="27" spans="1:4" ht="20.25" customHeight="1" x14ac:dyDescent="0.15">
      <c r="A27" s="8" t="s">
        <v>59</v>
      </c>
      <c r="B27" s="81">
        <v>92</v>
      </c>
      <c r="C27" s="81">
        <v>92</v>
      </c>
      <c r="D27" s="81"/>
    </row>
    <row r="28" spans="1:4" ht="12.75" customHeight="1" x14ac:dyDescent="0.15">
      <c r="A28" s="8" t="s">
        <v>60</v>
      </c>
      <c r="B28" s="81">
        <v>59</v>
      </c>
      <c r="C28" s="81">
        <v>59</v>
      </c>
      <c r="D28" s="81"/>
    </row>
    <row r="29" spans="1:4" ht="12.75" customHeight="1" x14ac:dyDescent="0.15">
      <c r="A29" s="8" t="s">
        <v>61</v>
      </c>
      <c r="B29" s="81">
        <v>6</v>
      </c>
      <c r="C29" s="81">
        <v>7</v>
      </c>
      <c r="D29" s="81"/>
    </row>
    <row r="30" spans="1:4" ht="12.75" customHeight="1" x14ac:dyDescent="0.15">
      <c r="A30" s="8" t="s">
        <v>62</v>
      </c>
      <c r="B30" s="81">
        <v>11</v>
      </c>
      <c r="C30" s="81">
        <v>9</v>
      </c>
      <c r="D30" s="81"/>
    </row>
    <row r="31" spans="1:4" ht="13.5" customHeight="1" x14ac:dyDescent="0.15">
      <c r="A31" s="16" t="s">
        <v>63</v>
      </c>
      <c r="B31" s="89">
        <f>SUM(B27:B30)</f>
        <v>168</v>
      </c>
      <c r="C31" s="89">
        <f>SUM(C27:C30)</f>
        <v>167</v>
      </c>
      <c r="D31" s="89">
        <f>SUM(D27:D30)</f>
        <v>0</v>
      </c>
    </row>
    <row r="32" spans="1:4" ht="13.5" customHeight="1" x14ac:dyDescent="0.15">
      <c r="A32" s="20"/>
      <c r="B32" s="21"/>
      <c r="C32" s="11"/>
      <c r="D32" s="11"/>
    </row>
    <row r="33" spans="1:6" x14ac:dyDescent="0.15">
      <c r="A33" s="22"/>
      <c r="B33" s="21"/>
      <c r="C33" s="11"/>
      <c r="D33" s="11"/>
    </row>
    <row r="34" spans="1:6" ht="32.25" customHeight="1" x14ac:dyDescent="0.15">
      <c r="A34" s="12" t="s">
        <v>64</v>
      </c>
      <c r="B34" s="19" t="str">
        <f>B26</f>
        <v>Previous Year's Enrollment</v>
      </c>
      <c r="C34" s="19" t="str">
        <f>C26</f>
        <v>Budgeted Enrollment</v>
      </c>
      <c r="D34" s="19" t="str">
        <f>D26</f>
        <v>Audited Enrollment</v>
      </c>
    </row>
    <row r="35" spans="1:6" ht="21.75" customHeight="1" x14ac:dyDescent="0.15">
      <c r="A35" s="12" t="s">
        <v>65</v>
      </c>
      <c r="B35" s="90">
        <v>229</v>
      </c>
      <c r="C35" s="90">
        <v>228</v>
      </c>
      <c r="D35" s="90"/>
    </row>
    <row r="36" spans="1:6" x14ac:dyDescent="0.15">
      <c r="A36" s="20"/>
      <c r="B36" s="21"/>
      <c r="C36" s="11"/>
      <c r="D36" s="11"/>
    </row>
    <row r="37" spans="1:6" ht="12.75" customHeight="1" x14ac:dyDescent="0.15">
      <c r="A37" s="12" t="s">
        <v>66</v>
      </c>
      <c r="B37" s="19" t="str">
        <f>B34</f>
        <v>Previous Year's Enrollment</v>
      </c>
      <c r="C37" s="19" t="str">
        <f>C34</f>
        <v>Budgeted Enrollment</v>
      </c>
      <c r="D37" s="19" t="str">
        <f>D34</f>
        <v>Audited Enrollment</v>
      </c>
    </row>
    <row r="38" spans="1:6" ht="12.75" customHeight="1" x14ac:dyDescent="0.15">
      <c r="A38" s="7" t="s">
        <v>67</v>
      </c>
      <c r="B38" s="81"/>
      <c r="C38" s="81"/>
      <c r="D38" s="81"/>
    </row>
    <row r="39" spans="1:6" ht="12.75" customHeight="1" x14ac:dyDescent="0.15">
      <c r="A39" s="7" t="s">
        <v>68</v>
      </c>
      <c r="B39" s="81"/>
      <c r="C39" s="81"/>
      <c r="D39" s="81"/>
    </row>
    <row r="40" spans="1:6" ht="12.75" customHeight="1" x14ac:dyDescent="0.15">
      <c r="A40" s="7" t="s">
        <v>69</v>
      </c>
      <c r="B40" s="81"/>
      <c r="C40" s="81"/>
      <c r="D40" s="81"/>
      <c r="F40" s="4"/>
    </row>
    <row r="41" spans="1:6" ht="12.75" customHeight="1" x14ac:dyDescent="0.15">
      <c r="A41" s="7" t="s">
        <v>70</v>
      </c>
      <c r="B41" s="81"/>
      <c r="C41" s="81"/>
      <c r="D41" s="81"/>
      <c r="F41" s="4"/>
    </row>
    <row r="42" spans="1:6" ht="13.5" customHeight="1" x14ac:dyDescent="0.15">
      <c r="A42" s="23" t="s">
        <v>71</v>
      </c>
      <c r="B42" s="89">
        <f>SUM(B38:B41)</f>
        <v>0</v>
      </c>
      <c r="C42" s="89">
        <f>SUM(C38:C41)</f>
        <v>0</v>
      </c>
      <c r="D42" s="89">
        <f>SUM(D38:D41)</f>
        <v>0</v>
      </c>
      <c r="F42" s="4"/>
    </row>
    <row r="43" spans="1:6" ht="13.5" customHeight="1" x14ac:dyDescent="0.15">
      <c r="A43" s="17"/>
      <c r="B43" s="21"/>
      <c r="C43" s="24"/>
      <c r="D43" s="24"/>
      <c r="F43" s="4"/>
    </row>
    <row r="44" spans="1:6" ht="26" x14ac:dyDescent="0.15">
      <c r="A44" s="25" t="s">
        <v>72</v>
      </c>
      <c r="B44" s="19" t="str">
        <f>B34</f>
        <v>Previous Year's Enrollment</v>
      </c>
      <c r="C44" s="19" t="str">
        <f>C34</f>
        <v>Budgeted Enrollment</v>
      </c>
      <c r="D44" s="19" t="str">
        <f>D34</f>
        <v>Audited Enrollment</v>
      </c>
      <c r="F44" s="4"/>
    </row>
    <row r="45" spans="1:6" ht="13.5" customHeight="1" x14ac:dyDescent="0.15">
      <c r="A45" s="12" t="s">
        <v>73</v>
      </c>
      <c r="B45" s="37"/>
      <c r="C45" s="36"/>
      <c r="D45" s="36"/>
      <c r="F45" s="4"/>
    </row>
    <row r="46" spans="1:6" ht="13.5" customHeight="1" x14ac:dyDescent="0.15">
      <c r="A46" s="20"/>
      <c r="B46" s="21"/>
      <c r="C46" s="26"/>
      <c r="D46" s="26"/>
      <c r="F46" s="4"/>
    </row>
    <row r="47" spans="1:6" ht="12.75" customHeight="1" x14ac:dyDescent="0.15">
      <c r="A47" s="7" t="s">
        <v>74</v>
      </c>
      <c r="B47" s="19" t="str">
        <f>B44</f>
        <v>Previous Year's Enrollment</v>
      </c>
      <c r="C47" s="19" t="str">
        <f>C44</f>
        <v>Budgeted Enrollment</v>
      </c>
      <c r="D47" s="19" t="str">
        <f>D44</f>
        <v>Audited Enrollment</v>
      </c>
      <c r="F47" s="4"/>
    </row>
    <row r="48" spans="1:6" ht="13.5" customHeight="1" x14ac:dyDescent="0.15">
      <c r="A48" s="12" t="s">
        <v>74</v>
      </c>
      <c r="B48" s="35"/>
      <c r="C48" s="36"/>
      <c r="D48" s="36"/>
      <c r="F48" s="4"/>
    </row>
    <row r="49" spans="1:6" x14ac:dyDescent="0.15">
      <c r="A49" s="20"/>
      <c r="B49" s="21"/>
      <c r="C49" s="26"/>
      <c r="D49" s="26"/>
      <c r="F49" s="4"/>
    </row>
    <row r="50" spans="1:6" ht="12.75" customHeight="1" x14ac:dyDescent="0.15">
      <c r="A50" s="12" t="s">
        <v>119</v>
      </c>
      <c r="B50" s="19" t="str">
        <f>B47</f>
        <v>Previous Year's Enrollment</v>
      </c>
      <c r="C50" s="19" t="str">
        <f>C47</f>
        <v>Budgeted Enrollment</v>
      </c>
      <c r="D50" s="19" t="str">
        <f>D47</f>
        <v>Audited Enrollment</v>
      </c>
      <c r="F50" s="4"/>
    </row>
    <row r="51" spans="1:6" ht="13.5" customHeight="1" x14ac:dyDescent="0.15">
      <c r="A51" s="12" t="s">
        <v>120</v>
      </c>
      <c r="B51" s="90">
        <v>682</v>
      </c>
      <c r="C51" s="90">
        <v>667</v>
      </c>
      <c r="D51" s="90"/>
      <c r="F51" s="4"/>
    </row>
    <row r="52" spans="1:6" x14ac:dyDescent="0.15">
      <c r="A52" s="27"/>
      <c r="B52" s="10"/>
      <c r="C52" s="28"/>
      <c r="D52" s="28"/>
      <c r="F52" s="4"/>
    </row>
    <row r="53" spans="1:6" ht="26" x14ac:dyDescent="0.15">
      <c r="A53" s="12" t="s">
        <v>75</v>
      </c>
      <c r="B53" s="19" t="str">
        <f>B44</f>
        <v>Previous Year's Enrollment</v>
      </c>
      <c r="C53" s="19" t="str">
        <f>C44</f>
        <v>Budgeted Enrollment</v>
      </c>
      <c r="D53" s="19" t="str">
        <f>D44</f>
        <v>Audited Enrollment</v>
      </c>
      <c r="F53" s="4"/>
    </row>
    <row r="54" spans="1:6" ht="12.75" customHeight="1" x14ac:dyDescent="0.15">
      <c r="A54" s="7" t="s">
        <v>76</v>
      </c>
      <c r="B54" s="81">
        <v>0</v>
      </c>
      <c r="C54" s="81"/>
      <c r="D54" s="81"/>
      <c r="F54" s="4"/>
    </row>
    <row r="55" spans="1:6" ht="12.75" customHeight="1" x14ac:dyDescent="0.15">
      <c r="A55" s="7" t="s">
        <v>77</v>
      </c>
      <c r="B55" s="81">
        <v>6</v>
      </c>
      <c r="C55" s="81"/>
      <c r="D55" s="81"/>
      <c r="F55" s="4"/>
    </row>
    <row r="56" spans="1:6" ht="12.75" customHeight="1" x14ac:dyDescent="0.15">
      <c r="A56" s="7" t="s">
        <v>78</v>
      </c>
      <c r="B56" s="81">
        <v>6</v>
      </c>
      <c r="C56" s="81"/>
      <c r="D56" s="81"/>
      <c r="F56" s="4"/>
    </row>
    <row r="57" spans="1:6" ht="12.75" customHeight="1" x14ac:dyDescent="0.15">
      <c r="A57" s="7" t="s">
        <v>79</v>
      </c>
      <c r="B57" s="81">
        <v>0</v>
      </c>
      <c r="C57" s="81"/>
      <c r="D57" s="81"/>
      <c r="F57" s="4"/>
    </row>
    <row r="58" spans="1:6" ht="14.25" customHeight="1" x14ac:dyDescent="0.15">
      <c r="A58" s="29" t="s">
        <v>80</v>
      </c>
      <c r="B58" s="89">
        <f>SUM(B54:B57)</f>
        <v>12</v>
      </c>
      <c r="C58" s="89">
        <f>SUM(C54:C57)</f>
        <v>0</v>
      </c>
      <c r="D58" s="89">
        <f>SUM(D54:D57)</f>
        <v>0</v>
      </c>
      <c r="F58" s="4"/>
    </row>
    <row r="59" spans="1:6" x14ac:dyDescent="0.15">
      <c r="A59" s="5"/>
      <c r="B59" s="10"/>
      <c r="C59" s="11"/>
      <c r="D59" s="11"/>
      <c r="F59" s="4"/>
    </row>
    <row r="60" spans="1:6" x14ac:dyDescent="0.15">
      <c r="A60" s="30"/>
      <c r="B60" s="31"/>
      <c r="C60" s="31"/>
      <c r="D60" s="31"/>
      <c r="F60" s="4"/>
    </row>
    <row r="61" spans="1:6" x14ac:dyDescent="0.15">
      <c r="A61" s="32"/>
      <c r="B61" s="33"/>
      <c r="C61" s="33"/>
      <c r="D61" s="33"/>
      <c r="E61" s="4"/>
      <c r="F61" s="6"/>
    </row>
    <row r="62" spans="1:6" x14ac:dyDescent="0.15">
      <c r="F62" s="4"/>
    </row>
    <row r="63" spans="1:6" x14ac:dyDescent="0.15">
      <c r="F63" s="4"/>
    </row>
    <row r="64" spans="1:6" x14ac:dyDescent="0.15">
      <c r="F64" s="4"/>
    </row>
    <row r="65" spans="6:6" x14ac:dyDescent="0.15">
      <c r="F65" s="4"/>
    </row>
    <row r="66" spans="6:6" x14ac:dyDescent="0.15">
      <c r="F66" s="4"/>
    </row>
    <row r="67" spans="6:6" x14ac:dyDescent="0.15">
      <c r="F67" s="4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91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Y71"/>
  <sheetViews>
    <sheetView showGridLines="0" tabSelected="1" zoomScaleNormal="100" zoomScaleSheetLayoutView="100" workbookViewId="0">
      <selection activeCell="AA18" sqref="AA18"/>
    </sheetView>
  </sheetViews>
  <sheetFormatPr baseColWidth="10" defaultColWidth="9.1640625" defaultRowHeight="12.75" customHeight="1" x14ac:dyDescent="0.15"/>
  <cols>
    <col min="1" max="1" width="1.83203125" style="38" customWidth="1"/>
    <col min="2" max="2" width="45.83203125" style="38" bestFit="1" customWidth="1"/>
    <col min="3" max="3" width="2.83203125" style="38" customWidth="1"/>
    <col min="4" max="4" width="10.6640625" style="38" customWidth="1"/>
    <col min="5" max="5" width="2.6640625" style="2" customWidth="1"/>
    <col min="6" max="6" width="10.6640625" style="39" customWidth="1"/>
    <col min="7" max="7" width="2.6640625" style="2" customWidth="1"/>
    <col min="8" max="23" width="10.6640625" style="38" customWidth="1"/>
    <col min="24" max="24" width="2.6640625" style="38" customWidth="1"/>
    <col min="25" max="25" width="14.83203125" style="38" customWidth="1"/>
    <col min="26" max="16384" width="9.1640625" style="38"/>
  </cols>
  <sheetData>
    <row r="1" spans="1:25" ht="12.75" customHeight="1" x14ac:dyDescent="0.15">
      <c r="A1" s="51" t="str">
        <f>'Cover Sheet'!A2</f>
        <v>Center City Public Charter Schools</v>
      </c>
      <c r="B1" s="51"/>
    </row>
    <row r="2" spans="1:25" ht="12.75" customHeight="1" x14ac:dyDescent="0.15">
      <c r="A2" s="38" t="str">
        <f>'Cover Sheet'!A8&amp;" Annual Budget"</f>
        <v>FY2019 Annual Budget</v>
      </c>
    </row>
    <row r="3" spans="1:25" ht="13" x14ac:dyDescent="0.15">
      <c r="A3" s="40"/>
      <c r="B3" s="41"/>
      <c r="C3" s="40"/>
      <c r="D3" s="41"/>
      <c r="F3" s="2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0"/>
    </row>
    <row r="4" spans="1:25" ht="13" x14ac:dyDescent="0.15">
      <c r="A4" s="2"/>
      <c r="B4" s="2"/>
      <c r="C4" s="40"/>
      <c r="D4" s="42" t="s">
        <v>149</v>
      </c>
      <c r="E4" s="43"/>
      <c r="F4" s="43"/>
      <c r="G4" s="43"/>
      <c r="H4" s="42" t="s">
        <v>137</v>
      </c>
      <c r="I4" s="42" t="s">
        <v>138</v>
      </c>
      <c r="J4" s="42" t="s">
        <v>139</v>
      </c>
      <c r="K4" s="42" t="s">
        <v>82</v>
      </c>
      <c r="L4" s="42" t="s">
        <v>140</v>
      </c>
      <c r="M4" s="42" t="s">
        <v>141</v>
      </c>
      <c r="N4" s="42" t="s">
        <v>142</v>
      </c>
      <c r="O4" s="42" t="s">
        <v>83</v>
      </c>
      <c r="P4" s="42" t="s">
        <v>143</v>
      </c>
      <c r="Q4" s="42" t="s">
        <v>144</v>
      </c>
      <c r="R4" s="42" t="s">
        <v>145</v>
      </c>
      <c r="S4" s="42" t="s">
        <v>84</v>
      </c>
      <c r="T4" s="42" t="s">
        <v>146</v>
      </c>
      <c r="U4" s="42" t="s">
        <v>147</v>
      </c>
      <c r="V4" s="42" t="s">
        <v>148</v>
      </c>
      <c r="W4" s="42" t="s">
        <v>85</v>
      </c>
      <c r="X4" s="40"/>
      <c r="Y4" s="42" t="s">
        <v>150</v>
      </c>
    </row>
    <row r="5" spans="1:25" ht="13" x14ac:dyDescent="0.15">
      <c r="B5" s="2"/>
      <c r="C5" s="40"/>
      <c r="D5" s="44" t="s">
        <v>2</v>
      </c>
      <c r="E5" s="45"/>
      <c r="F5" s="45"/>
      <c r="G5" s="45"/>
      <c r="H5" s="44" t="str">
        <f>D5</f>
        <v>Budget</v>
      </c>
      <c r="I5" s="44" t="str">
        <f>H5</f>
        <v>Budget</v>
      </c>
      <c r="J5" s="44" t="str">
        <f t="shared" ref="J5:W5" si="0">I5</f>
        <v>Budget</v>
      </c>
      <c r="K5" s="44" t="str">
        <f t="shared" si="0"/>
        <v>Budget</v>
      </c>
      <c r="L5" s="44" t="str">
        <f t="shared" si="0"/>
        <v>Budget</v>
      </c>
      <c r="M5" s="44" t="str">
        <f t="shared" si="0"/>
        <v>Budget</v>
      </c>
      <c r="N5" s="44" t="str">
        <f t="shared" si="0"/>
        <v>Budget</v>
      </c>
      <c r="O5" s="44" t="str">
        <f t="shared" si="0"/>
        <v>Budget</v>
      </c>
      <c r="P5" s="44" t="str">
        <f t="shared" si="0"/>
        <v>Budget</v>
      </c>
      <c r="Q5" s="44" t="str">
        <f t="shared" si="0"/>
        <v>Budget</v>
      </c>
      <c r="R5" s="44" t="str">
        <f t="shared" si="0"/>
        <v>Budget</v>
      </c>
      <c r="S5" s="44" t="str">
        <f t="shared" si="0"/>
        <v>Budget</v>
      </c>
      <c r="T5" s="44" t="str">
        <f t="shared" si="0"/>
        <v>Budget</v>
      </c>
      <c r="U5" s="44" t="str">
        <f t="shared" si="0"/>
        <v>Budget</v>
      </c>
      <c r="V5" s="44" t="str">
        <f t="shared" si="0"/>
        <v>Budget</v>
      </c>
      <c r="W5" s="44" t="str">
        <f t="shared" si="0"/>
        <v>Budget</v>
      </c>
      <c r="X5" s="40"/>
      <c r="Y5" s="44" t="s">
        <v>112</v>
      </c>
    </row>
    <row r="6" spans="1:25" ht="13" x14ac:dyDescent="0.15">
      <c r="A6" s="46" t="s">
        <v>4</v>
      </c>
      <c r="B6" s="2"/>
      <c r="C6" s="40"/>
      <c r="X6" s="40"/>
    </row>
    <row r="7" spans="1:25" ht="13" x14ac:dyDescent="0.15">
      <c r="A7" s="41"/>
      <c r="B7" s="41" t="s">
        <v>153</v>
      </c>
      <c r="C7" s="40"/>
      <c r="D7" s="47">
        <v>15025391</v>
      </c>
      <c r="E7" s="48"/>
      <c r="F7" s="48"/>
      <c r="G7" s="48"/>
      <c r="H7" s="47">
        <v>0</v>
      </c>
      <c r="I7" s="47">
        <f>16943814/10*0.5</f>
        <v>847190.7</v>
      </c>
      <c r="J7" s="47">
        <f>16943814/10</f>
        <v>1694381.4</v>
      </c>
      <c r="K7" s="48">
        <f>SUM(H7:J7)</f>
        <v>2541572.0999999996</v>
      </c>
      <c r="L7" s="47">
        <f>+$J7</f>
        <v>1694381.4</v>
      </c>
      <c r="M7" s="47">
        <f t="shared" ref="M7:N13" si="1">+$J7</f>
        <v>1694381.4</v>
      </c>
      <c r="N7" s="47">
        <f t="shared" si="1"/>
        <v>1694381.4</v>
      </c>
      <c r="O7" s="48">
        <f>SUM(L7:N7)</f>
        <v>5083144.1999999993</v>
      </c>
      <c r="P7" s="47">
        <f t="shared" ref="P7:R13" si="2">+$J7</f>
        <v>1694381.4</v>
      </c>
      <c r="Q7" s="47">
        <f t="shared" si="2"/>
        <v>1694381.4</v>
      </c>
      <c r="R7" s="47">
        <f t="shared" si="2"/>
        <v>1694381.4</v>
      </c>
      <c r="S7" s="48">
        <f>SUM(P7:R7)</f>
        <v>5083144.1999999993</v>
      </c>
      <c r="T7" s="47">
        <f t="shared" ref="T7:U13" si="3">+$J7</f>
        <v>1694381.4</v>
      </c>
      <c r="U7" s="47">
        <f t="shared" si="3"/>
        <v>1694381.4</v>
      </c>
      <c r="V7" s="47">
        <f>+I7-1</f>
        <v>847189.7</v>
      </c>
      <c r="W7" s="48">
        <f>SUM(T7:V7)</f>
        <v>4235952.5</v>
      </c>
      <c r="X7" s="92"/>
      <c r="Y7" s="93">
        <f>SUM(K7,O7,S7,W7)</f>
        <v>16943813</v>
      </c>
    </row>
    <row r="8" spans="1:25" ht="13" x14ac:dyDescent="0.15">
      <c r="A8" s="41"/>
      <c r="B8" s="41" t="s">
        <v>154</v>
      </c>
      <c r="C8" s="40"/>
      <c r="D8" s="47">
        <v>4401346</v>
      </c>
      <c r="E8" s="48"/>
      <c r="F8" s="48"/>
      <c r="G8" s="48"/>
      <c r="H8" s="47">
        <v>0</v>
      </c>
      <c r="I8" s="47">
        <f>5215750/10*0.5</f>
        <v>260787.5</v>
      </c>
      <c r="J8" s="47">
        <f>5215750/10</f>
        <v>521575</v>
      </c>
      <c r="K8" s="48">
        <f t="shared" ref="K8:K15" si="4">SUM(H8:J8)</f>
        <v>782362.5</v>
      </c>
      <c r="L8" s="47">
        <f>+$J8</f>
        <v>521575</v>
      </c>
      <c r="M8" s="47">
        <f t="shared" si="1"/>
        <v>521575</v>
      </c>
      <c r="N8" s="47">
        <f t="shared" si="1"/>
        <v>521575</v>
      </c>
      <c r="O8" s="48">
        <f t="shared" ref="O8:O15" si="5">SUM(L8:N8)</f>
        <v>1564725</v>
      </c>
      <c r="P8" s="47">
        <f t="shared" si="2"/>
        <v>521575</v>
      </c>
      <c r="Q8" s="47">
        <f t="shared" si="2"/>
        <v>521575</v>
      </c>
      <c r="R8" s="47">
        <f t="shared" si="2"/>
        <v>521575</v>
      </c>
      <c r="S8" s="48">
        <f t="shared" ref="S8:S15" si="6">SUM(P8:R8)</f>
        <v>1564725</v>
      </c>
      <c r="T8" s="47">
        <f t="shared" si="3"/>
        <v>521575</v>
      </c>
      <c r="U8" s="47">
        <f t="shared" si="3"/>
        <v>521575</v>
      </c>
      <c r="V8" s="47">
        <f>+I8</f>
        <v>260787.5</v>
      </c>
      <c r="W8" s="48">
        <f t="shared" ref="W8:W15" si="7">SUM(T8:V8)</f>
        <v>1303937.5</v>
      </c>
      <c r="X8" s="92"/>
      <c r="Y8" s="93">
        <f t="shared" ref="Y8:Y15" si="8">SUM(K8,O8,S8,W8)</f>
        <v>5215750</v>
      </c>
    </row>
    <row r="9" spans="1:25" ht="13" x14ac:dyDescent="0.15">
      <c r="A9" s="41"/>
      <c r="B9" s="41" t="s">
        <v>5</v>
      </c>
      <c r="C9" s="40"/>
      <c r="D9" s="47">
        <v>4469819</v>
      </c>
      <c r="E9" s="48"/>
      <c r="F9" s="48"/>
      <c r="G9" s="48"/>
      <c r="H9" s="47">
        <v>0</v>
      </c>
      <c r="I9" s="47">
        <f>4777392/10*0.5</f>
        <v>238869.6</v>
      </c>
      <c r="J9" s="47">
        <f>4777392/10</f>
        <v>477739.2</v>
      </c>
      <c r="K9" s="48">
        <f t="shared" si="4"/>
        <v>716608.8</v>
      </c>
      <c r="L9" s="47">
        <f>+$J9</f>
        <v>477739.2</v>
      </c>
      <c r="M9" s="47">
        <f t="shared" si="1"/>
        <v>477739.2</v>
      </c>
      <c r="N9" s="47">
        <f t="shared" si="1"/>
        <v>477739.2</v>
      </c>
      <c r="O9" s="48">
        <f t="shared" si="5"/>
        <v>1433217.6</v>
      </c>
      <c r="P9" s="47">
        <f t="shared" si="2"/>
        <v>477739.2</v>
      </c>
      <c r="Q9" s="47">
        <f t="shared" si="2"/>
        <v>477739.2</v>
      </c>
      <c r="R9" s="47">
        <f t="shared" si="2"/>
        <v>477739.2</v>
      </c>
      <c r="S9" s="48">
        <f t="shared" si="6"/>
        <v>1433217.6</v>
      </c>
      <c r="T9" s="47">
        <f t="shared" si="3"/>
        <v>477739.2</v>
      </c>
      <c r="U9" s="47">
        <f t="shared" si="3"/>
        <v>477739.2</v>
      </c>
      <c r="V9" s="47">
        <f>+I9</f>
        <v>238869.6</v>
      </c>
      <c r="W9" s="48">
        <f t="shared" si="7"/>
        <v>1194348</v>
      </c>
      <c r="X9" s="92"/>
      <c r="Y9" s="93">
        <f t="shared" si="8"/>
        <v>4777392</v>
      </c>
    </row>
    <row r="10" spans="1:25" ht="13" x14ac:dyDescent="0.15">
      <c r="A10" s="41"/>
      <c r="B10" s="41" t="s">
        <v>167</v>
      </c>
      <c r="C10" s="40"/>
      <c r="D10" s="47">
        <v>2386307</v>
      </c>
      <c r="E10" s="48"/>
      <c r="F10" s="48"/>
      <c r="G10" s="48"/>
      <c r="H10" s="47">
        <f>2260000/12</f>
        <v>188333.33333333334</v>
      </c>
      <c r="I10" s="47">
        <f>+$H10</f>
        <v>188333.33333333334</v>
      </c>
      <c r="J10" s="47">
        <f>+$H10</f>
        <v>188333.33333333334</v>
      </c>
      <c r="K10" s="48">
        <f t="shared" si="4"/>
        <v>565000</v>
      </c>
      <c r="L10" s="47">
        <f t="shared" ref="L10:N10" si="9">+$H10</f>
        <v>188333.33333333334</v>
      </c>
      <c r="M10" s="47">
        <f t="shared" si="9"/>
        <v>188333.33333333334</v>
      </c>
      <c r="N10" s="47">
        <f t="shared" si="9"/>
        <v>188333.33333333334</v>
      </c>
      <c r="O10" s="48">
        <f t="shared" si="5"/>
        <v>565000</v>
      </c>
      <c r="P10" s="47">
        <f t="shared" ref="P10:R10" si="10">+$H10</f>
        <v>188333.33333333334</v>
      </c>
      <c r="Q10" s="47">
        <f t="shared" si="10"/>
        <v>188333.33333333334</v>
      </c>
      <c r="R10" s="47">
        <f t="shared" si="10"/>
        <v>188333.33333333334</v>
      </c>
      <c r="S10" s="48">
        <f t="shared" si="6"/>
        <v>565000</v>
      </c>
      <c r="T10" s="47">
        <f t="shared" ref="T10:V10" si="11">+$H10</f>
        <v>188333.33333333334</v>
      </c>
      <c r="U10" s="47">
        <f t="shared" si="11"/>
        <v>188333.33333333334</v>
      </c>
      <c r="V10" s="47">
        <f t="shared" si="11"/>
        <v>188333.33333333334</v>
      </c>
      <c r="W10" s="48">
        <f t="shared" si="7"/>
        <v>565000</v>
      </c>
      <c r="X10" s="92"/>
      <c r="Y10" s="93">
        <f t="shared" si="8"/>
        <v>2260000</v>
      </c>
    </row>
    <row r="11" spans="1:25" ht="13" x14ac:dyDescent="0.15">
      <c r="A11" s="41"/>
      <c r="B11" s="41" t="s">
        <v>6</v>
      </c>
      <c r="C11" s="40"/>
      <c r="D11" s="47">
        <v>40500</v>
      </c>
      <c r="E11" s="48"/>
      <c r="F11" s="48"/>
      <c r="G11" s="48"/>
      <c r="H11" s="47"/>
      <c r="I11" s="47">
        <f>44100/10*0.5</f>
        <v>2205</v>
      </c>
      <c r="J11" s="47">
        <f>44100/10</f>
        <v>4410</v>
      </c>
      <c r="K11" s="48">
        <f t="shared" si="4"/>
        <v>6615</v>
      </c>
      <c r="L11" s="47">
        <f>+$J11</f>
        <v>4410</v>
      </c>
      <c r="M11" s="47">
        <f t="shared" si="1"/>
        <v>4410</v>
      </c>
      <c r="N11" s="47">
        <f t="shared" si="1"/>
        <v>4410</v>
      </c>
      <c r="O11" s="48">
        <f t="shared" si="5"/>
        <v>13230</v>
      </c>
      <c r="P11" s="47">
        <f t="shared" si="2"/>
        <v>4410</v>
      </c>
      <c r="Q11" s="47">
        <f t="shared" si="2"/>
        <v>4410</v>
      </c>
      <c r="R11" s="47">
        <f t="shared" si="2"/>
        <v>4410</v>
      </c>
      <c r="S11" s="48">
        <f t="shared" si="6"/>
        <v>13230</v>
      </c>
      <c r="T11" s="47">
        <f t="shared" si="3"/>
        <v>4410</v>
      </c>
      <c r="U11" s="47">
        <f t="shared" si="3"/>
        <v>4410</v>
      </c>
      <c r="V11" s="47">
        <f>+I11</f>
        <v>2205</v>
      </c>
      <c r="W11" s="48">
        <f t="shared" si="7"/>
        <v>11025</v>
      </c>
      <c r="X11" s="92"/>
      <c r="Y11" s="93">
        <f t="shared" si="8"/>
        <v>44100</v>
      </c>
    </row>
    <row r="12" spans="1:25" ht="13" x14ac:dyDescent="0.15">
      <c r="A12" s="41"/>
      <c r="B12" s="41" t="s">
        <v>7</v>
      </c>
      <c r="C12" s="40"/>
      <c r="D12" s="47">
        <v>25000</v>
      </c>
      <c r="E12" s="48"/>
      <c r="F12" s="48"/>
      <c r="G12" s="48"/>
      <c r="H12" s="47"/>
      <c r="I12" s="47"/>
      <c r="J12" s="47">
        <f>(25000+42000)/4</f>
        <v>16750</v>
      </c>
      <c r="K12" s="48">
        <f t="shared" si="4"/>
        <v>16750</v>
      </c>
      <c r="L12" s="47"/>
      <c r="M12" s="47"/>
      <c r="N12" s="47">
        <f>(25000+42000)/4</f>
        <v>16750</v>
      </c>
      <c r="O12" s="48">
        <f t="shared" si="5"/>
        <v>16750</v>
      </c>
      <c r="P12" s="47"/>
      <c r="Q12" s="47"/>
      <c r="R12" s="47">
        <f>(25000+42000)/4</f>
        <v>16750</v>
      </c>
      <c r="S12" s="48">
        <f t="shared" si="6"/>
        <v>16750</v>
      </c>
      <c r="T12" s="47"/>
      <c r="U12" s="47"/>
      <c r="V12" s="47">
        <f>(25000+42000)/4</f>
        <v>16750</v>
      </c>
      <c r="W12" s="48">
        <f t="shared" si="7"/>
        <v>16750</v>
      </c>
      <c r="X12" s="92"/>
      <c r="Y12" s="93">
        <f t="shared" si="8"/>
        <v>67000</v>
      </c>
    </row>
    <row r="13" spans="1:25" ht="13" x14ac:dyDescent="0.15">
      <c r="A13" s="41"/>
      <c r="B13" s="41" t="s">
        <v>8</v>
      </c>
      <c r="C13" s="40"/>
      <c r="D13" s="47">
        <v>279000</v>
      </c>
      <c r="E13" s="48"/>
      <c r="F13" s="48"/>
      <c r="G13" s="48"/>
      <c r="H13" s="47"/>
      <c r="I13" s="47">
        <f>412705/10*0.5</f>
        <v>20635.25</v>
      </c>
      <c r="J13" s="47">
        <f>412705/10</f>
        <v>41270.5</v>
      </c>
      <c r="K13" s="48">
        <f t="shared" si="4"/>
        <v>61905.75</v>
      </c>
      <c r="L13" s="47">
        <f>+$J13</f>
        <v>41270.5</v>
      </c>
      <c r="M13" s="47">
        <f t="shared" si="1"/>
        <v>41270.5</v>
      </c>
      <c r="N13" s="47">
        <f t="shared" si="1"/>
        <v>41270.5</v>
      </c>
      <c r="O13" s="48">
        <f t="shared" si="5"/>
        <v>123811.5</v>
      </c>
      <c r="P13" s="47">
        <f t="shared" si="2"/>
        <v>41270.5</v>
      </c>
      <c r="Q13" s="47">
        <f t="shared" si="2"/>
        <v>41270.5</v>
      </c>
      <c r="R13" s="47">
        <f t="shared" si="2"/>
        <v>41270.5</v>
      </c>
      <c r="S13" s="48">
        <f t="shared" si="6"/>
        <v>123811.5</v>
      </c>
      <c r="T13" s="47">
        <f t="shared" si="3"/>
        <v>41270.5</v>
      </c>
      <c r="U13" s="47">
        <f t="shared" si="3"/>
        <v>41270.5</v>
      </c>
      <c r="V13" s="47">
        <f>+I13</f>
        <v>20635.25</v>
      </c>
      <c r="W13" s="48">
        <f t="shared" si="7"/>
        <v>103176.25</v>
      </c>
      <c r="X13" s="92"/>
      <c r="Y13" s="93">
        <f t="shared" si="8"/>
        <v>412705</v>
      </c>
    </row>
    <row r="14" spans="1:25" ht="13" x14ac:dyDescent="0.15">
      <c r="A14" s="41"/>
      <c r="B14" s="41" t="s">
        <v>155</v>
      </c>
      <c r="C14" s="40"/>
      <c r="D14" s="81">
        <v>0</v>
      </c>
      <c r="E14" s="48"/>
      <c r="F14" s="48"/>
      <c r="G14" s="48"/>
      <c r="H14" s="81">
        <v>0</v>
      </c>
      <c r="I14" s="47">
        <f>+$H14</f>
        <v>0</v>
      </c>
      <c r="J14" s="47">
        <f>+$H14</f>
        <v>0</v>
      </c>
      <c r="K14" s="48">
        <f t="shared" si="4"/>
        <v>0</v>
      </c>
      <c r="L14" s="47">
        <f t="shared" ref="L14:N15" si="12">+$H14</f>
        <v>0</v>
      </c>
      <c r="M14" s="47">
        <f t="shared" si="12"/>
        <v>0</v>
      </c>
      <c r="N14" s="47">
        <f t="shared" si="12"/>
        <v>0</v>
      </c>
      <c r="O14" s="48">
        <f t="shared" si="5"/>
        <v>0</v>
      </c>
      <c r="P14" s="47">
        <f t="shared" ref="P14:R15" si="13">+$H14</f>
        <v>0</v>
      </c>
      <c r="Q14" s="47">
        <f t="shared" si="13"/>
        <v>0</v>
      </c>
      <c r="R14" s="47">
        <f t="shared" si="13"/>
        <v>0</v>
      </c>
      <c r="S14" s="48">
        <f t="shared" si="6"/>
        <v>0</v>
      </c>
      <c r="T14" s="47">
        <f t="shared" ref="T14:V15" si="14">+$H14</f>
        <v>0</v>
      </c>
      <c r="U14" s="47">
        <f t="shared" si="14"/>
        <v>0</v>
      </c>
      <c r="V14" s="47">
        <f t="shared" si="14"/>
        <v>0</v>
      </c>
      <c r="W14" s="48">
        <f t="shared" si="7"/>
        <v>0</v>
      </c>
      <c r="X14" s="92"/>
      <c r="Y14" s="93">
        <f t="shared" si="8"/>
        <v>0</v>
      </c>
    </row>
    <row r="15" spans="1:25" ht="13" x14ac:dyDescent="0.15">
      <c r="A15" s="41"/>
      <c r="B15" s="41" t="s">
        <v>9</v>
      </c>
      <c r="C15" s="40"/>
      <c r="D15" s="47">
        <v>50000</v>
      </c>
      <c r="E15" s="48"/>
      <c r="F15" s="48"/>
      <c r="G15" s="48"/>
      <c r="H15" s="47">
        <f>105000/12</f>
        <v>8750</v>
      </c>
      <c r="I15" s="47">
        <f>+$H15</f>
        <v>8750</v>
      </c>
      <c r="J15" s="47">
        <f>+$H15</f>
        <v>8750</v>
      </c>
      <c r="K15" s="48">
        <f t="shared" si="4"/>
        <v>26250</v>
      </c>
      <c r="L15" s="47">
        <f t="shared" si="12"/>
        <v>8750</v>
      </c>
      <c r="M15" s="47">
        <f t="shared" si="12"/>
        <v>8750</v>
      </c>
      <c r="N15" s="47">
        <f t="shared" si="12"/>
        <v>8750</v>
      </c>
      <c r="O15" s="48">
        <f t="shared" si="5"/>
        <v>26250</v>
      </c>
      <c r="P15" s="47">
        <f t="shared" si="13"/>
        <v>8750</v>
      </c>
      <c r="Q15" s="47">
        <f t="shared" si="13"/>
        <v>8750</v>
      </c>
      <c r="R15" s="47">
        <f t="shared" si="13"/>
        <v>8750</v>
      </c>
      <c r="S15" s="48">
        <f t="shared" si="6"/>
        <v>26250</v>
      </c>
      <c r="T15" s="47">
        <f t="shared" si="14"/>
        <v>8750</v>
      </c>
      <c r="U15" s="47">
        <f t="shared" si="14"/>
        <v>8750</v>
      </c>
      <c r="V15" s="47">
        <f t="shared" si="14"/>
        <v>8750</v>
      </c>
      <c r="W15" s="48">
        <f t="shared" si="7"/>
        <v>26250</v>
      </c>
      <c r="X15" s="92"/>
      <c r="Y15" s="84">
        <f t="shared" si="8"/>
        <v>105000</v>
      </c>
    </row>
    <row r="16" spans="1:25" ht="13" x14ac:dyDescent="0.15">
      <c r="A16" s="41"/>
      <c r="B16" s="49" t="s">
        <v>10</v>
      </c>
      <c r="C16" s="40"/>
      <c r="D16" s="91">
        <f>SUM(D7:D15)</f>
        <v>26677363</v>
      </c>
      <c r="E16" s="94"/>
      <c r="F16" s="94"/>
      <c r="G16" s="94"/>
      <c r="H16" s="91">
        <f>SUM(H7:H15)</f>
        <v>197083.33333333334</v>
      </c>
      <c r="I16" s="91">
        <f t="shared" ref="I16:J16" si="15">SUM(I7:I15)</f>
        <v>1566771.3833333333</v>
      </c>
      <c r="J16" s="91">
        <f t="shared" si="15"/>
        <v>2953209.4333333336</v>
      </c>
      <c r="K16" s="91">
        <f>SUM(H16:J16)</f>
        <v>4717064.1500000004</v>
      </c>
      <c r="L16" s="91">
        <f>SUM(L7:L15)</f>
        <v>2936459.4333333336</v>
      </c>
      <c r="M16" s="91">
        <f t="shared" ref="M16:N16" si="16">SUM(M7:M15)</f>
        <v>2936459.4333333336</v>
      </c>
      <c r="N16" s="91">
        <f t="shared" si="16"/>
        <v>2953209.4333333336</v>
      </c>
      <c r="O16" s="91">
        <f>SUM(L16:N16)</f>
        <v>8826128.3000000007</v>
      </c>
      <c r="P16" s="91">
        <f>SUM(P7:P15)</f>
        <v>2936459.4333333336</v>
      </c>
      <c r="Q16" s="91">
        <f t="shared" ref="Q16:R16" si="17">SUM(Q7:Q15)</f>
        <v>2936459.4333333336</v>
      </c>
      <c r="R16" s="91">
        <f t="shared" si="17"/>
        <v>2953209.4333333336</v>
      </c>
      <c r="S16" s="91">
        <f>SUM(P16:R16)</f>
        <v>8826128.3000000007</v>
      </c>
      <c r="T16" s="91">
        <f>SUM(T7:T15)</f>
        <v>2936459.4333333336</v>
      </c>
      <c r="U16" s="91">
        <f t="shared" ref="U16:V16" si="18">SUM(U7:U15)</f>
        <v>2936459.4333333336</v>
      </c>
      <c r="V16" s="91">
        <f t="shared" si="18"/>
        <v>1583520.3833333333</v>
      </c>
      <c r="W16" s="91">
        <f>SUM(T16:V16)</f>
        <v>7456439.25</v>
      </c>
      <c r="X16" s="92"/>
      <c r="Y16" s="93">
        <f>SUM(K16,O16,S16,W16)</f>
        <v>29825760</v>
      </c>
    </row>
    <row r="17" spans="1:25" ht="13" x14ac:dyDescent="0.15">
      <c r="A17" s="41"/>
      <c r="B17" s="50"/>
      <c r="C17" s="40"/>
      <c r="D17" s="95"/>
      <c r="E17" s="94"/>
      <c r="F17" s="94"/>
      <c r="G17" s="94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2"/>
      <c r="Y17" s="93"/>
    </row>
    <row r="18" spans="1:25" ht="13" x14ac:dyDescent="0.15">
      <c r="A18" s="51" t="s">
        <v>159</v>
      </c>
      <c r="B18" s="2"/>
      <c r="C18" s="40"/>
      <c r="D18" s="54"/>
      <c r="E18" s="54"/>
      <c r="F18" s="101" t="str">
        <f>'Cover Sheet'!A8</f>
        <v>FY2019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92"/>
      <c r="Y18" s="93"/>
    </row>
    <row r="19" spans="1:25" ht="13" x14ac:dyDescent="0.15">
      <c r="A19" s="52" t="s">
        <v>11</v>
      </c>
      <c r="B19" s="2"/>
      <c r="C19" s="40"/>
      <c r="D19" s="54"/>
      <c r="E19" s="54"/>
      <c r="F19" s="48" t="s">
        <v>111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92"/>
      <c r="Y19" s="93"/>
    </row>
    <row r="20" spans="1:25" ht="13" x14ac:dyDescent="0.15">
      <c r="A20" s="41"/>
      <c r="B20" s="2" t="s">
        <v>12</v>
      </c>
      <c r="C20" s="40"/>
      <c r="D20" s="53">
        <v>1221618</v>
      </c>
      <c r="E20" s="54"/>
      <c r="F20" s="53">
        <v>12</v>
      </c>
      <c r="G20" s="54"/>
      <c r="H20" s="53">
        <f>1257733/12</f>
        <v>104811.08333333333</v>
      </c>
      <c r="I20" s="47">
        <f>+$H20</f>
        <v>104811.08333333333</v>
      </c>
      <c r="J20" s="47">
        <f>+$H20</f>
        <v>104811.08333333333</v>
      </c>
      <c r="K20" s="55">
        <f t="shared" ref="K20:K26" si="19">SUM(H20:J20)</f>
        <v>314433.25</v>
      </c>
      <c r="L20" s="47">
        <f>+$H20</f>
        <v>104811.08333333333</v>
      </c>
      <c r="M20" s="47">
        <f>+$H20</f>
        <v>104811.08333333333</v>
      </c>
      <c r="N20" s="47">
        <f>+$H20</f>
        <v>104811.08333333333</v>
      </c>
      <c r="O20" s="55">
        <f t="shared" ref="O20:O26" si="20">SUM(L20:N20)</f>
        <v>314433.25</v>
      </c>
      <c r="P20" s="47">
        <f>+$H20</f>
        <v>104811.08333333333</v>
      </c>
      <c r="Q20" s="47">
        <f>+$H20</f>
        <v>104811.08333333333</v>
      </c>
      <c r="R20" s="47">
        <f>+$H20</f>
        <v>104811.08333333333</v>
      </c>
      <c r="S20" s="55">
        <f t="shared" ref="S20:S26" si="21">SUM(P20:R20)</f>
        <v>314433.25</v>
      </c>
      <c r="T20" s="47">
        <f>+$H20</f>
        <v>104811.08333333333</v>
      </c>
      <c r="U20" s="47">
        <f>+$H20</f>
        <v>104811.08333333333</v>
      </c>
      <c r="V20" s="47">
        <f>+$H20</f>
        <v>104811.08333333333</v>
      </c>
      <c r="W20" s="55">
        <f t="shared" ref="W20:W27" si="22">SUM(T20:V20)</f>
        <v>314433.25</v>
      </c>
      <c r="X20" s="92"/>
      <c r="Y20" s="93">
        <f t="shared" ref="Y20:Y27" si="23">SUM(K20,O20,S20,W20)</f>
        <v>1257733</v>
      </c>
    </row>
    <row r="21" spans="1:25" ht="13" x14ac:dyDescent="0.15">
      <c r="A21" s="41"/>
      <c r="B21" s="2" t="s">
        <v>13</v>
      </c>
      <c r="C21" s="40"/>
      <c r="D21" s="53">
        <v>6638863</v>
      </c>
      <c r="E21" s="54"/>
      <c r="F21" s="53">
        <f>86+24</f>
        <v>110</v>
      </c>
      <c r="G21" s="54"/>
      <c r="H21" s="53">
        <v>0</v>
      </c>
      <c r="I21" s="47">
        <f>(5908412+1070814+75000+25000)/10*0.5</f>
        <v>353961.3</v>
      </c>
      <c r="J21" s="47">
        <f>(5908412+1070814+75000+25000)/10</f>
        <v>707922.6</v>
      </c>
      <c r="K21" s="55">
        <f>SUM(H21:J21)</f>
        <v>1061883.8999999999</v>
      </c>
      <c r="L21" s="47">
        <f t="shared" ref="L21:N23" si="24">+$J21</f>
        <v>707922.6</v>
      </c>
      <c r="M21" s="47">
        <f t="shared" si="24"/>
        <v>707922.6</v>
      </c>
      <c r="N21" s="47">
        <f t="shared" si="24"/>
        <v>707922.6</v>
      </c>
      <c r="O21" s="55">
        <f t="shared" si="20"/>
        <v>2123767.7999999998</v>
      </c>
      <c r="P21" s="47">
        <f t="shared" ref="P21:R23" si="25">+$J21</f>
        <v>707922.6</v>
      </c>
      <c r="Q21" s="47">
        <f t="shared" si="25"/>
        <v>707922.6</v>
      </c>
      <c r="R21" s="47">
        <f t="shared" si="25"/>
        <v>707922.6</v>
      </c>
      <c r="S21" s="55">
        <f t="shared" si="21"/>
        <v>2123767.7999999998</v>
      </c>
      <c r="T21" s="47">
        <f t="shared" ref="T21:U23" si="26">+$J21</f>
        <v>707922.6</v>
      </c>
      <c r="U21" s="47">
        <f t="shared" si="26"/>
        <v>707922.6</v>
      </c>
      <c r="V21" s="47">
        <f>+I21</f>
        <v>353961.3</v>
      </c>
      <c r="W21" s="55">
        <f t="shared" si="22"/>
        <v>1769806.5</v>
      </c>
      <c r="X21" s="92"/>
      <c r="Y21" s="93">
        <f t="shared" si="23"/>
        <v>7079226</v>
      </c>
    </row>
    <row r="22" spans="1:25" ht="13" x14ac:dyDescent="0.15">
      <c r="A22" s="41"/>
      <c r="B22" s="2" t="s">
        <v>14</v>
      </c>
      <c r="C22" s="40"/>
      <c r="D22" s="53">
        <v>1974022</v>
      </c>
      <c r="E22" s="54"/>
      <c r="F22" s="53">
        <f>34+6</f>
        <v>40</v>
      </c>
      <c r="G22" s="54"/>
      <c r="H22" s="53">
        <v>0</v>
      </c>
      <c r="I22" s="47">
        <f>(2328076+222574)/10*0.5</f>
        <v>127532.5</v>
      </c>
      <c r="J22" s="47">
        <f>(2328076+222574)/10</f>
        <v>255065</v>
      </c>
      <c r="K22" s="55">
        <f t="shared" si="19"/>
        <v>382597.5</v>
      </c>
      <c r="L22" s="47">
        <f t="shared" si="24"/>
        <v>255065</v>
      </c>
      <c r="M22" s="47">
        <f t="shared" si="24"/>
        <v>255065</v>
      </c>
      <c r="N22" s="47">
        <f t="shared" si="24"/>
        <v>255065</v>
      </c>
      <c r="O22" s="55">
        <f t="shared" si="20"/>
        <v>765195</v>
      </c>
      <c r="P22" s="47">
        <f t="shared" si="25"/>
        <v>255065</v>
      </c>
      <c r="Q22" s="47">
        <f t="shared" si="25"/>
        <v>255065</v>
      </c>
      <c r="R22" s="47">
        <f t="shared" si="25"/>
        <v>255065</v>
      </c>
      <c r="S22" s="55">
        <f t="shared" si="21"/>
        <v>765195</v>
      </c>
      <c r="T22" s="47">
        <f t="shared" si="26"/>
        <v>255065</v>
      </c>
      <c r="U22" s="47">
        <f t="shared" si="26"/>
        <v>255065</v>
      </c>
      <c r="V22" s="47">
        <f>+I22</f>
        <v>127532.5</v>
      </c>
      <c r="W22" s="55">
        <f t="shared" si="22"/>
        <v>637662.5</v>
      </c>
      <c r="X22" s="92"/>
      <c r="Y22" s="93">
        <f t="shared" si="23"/>
        <v>2550650</v>
      </c>
    </row>
    <row r="23" spans="1:25" ht="13" x14ac:dyDescent="0.15">
      <c r="A23" s="41"/>
      <c r="B23" s="2" t="s">
        <v>15</v>
      </c>
      <c r="C23" s="40"/>
      <c r="D23" s="53">
        <v>2082065</v>
      </c>
      <c r="E23" s="54"/>
      <c r="F23" s="53">
        <f>14+17</f>
        <v>31</v>
      </c>
      <c r="G23" s="54"/>
      <c r="H23" s="53">
        <f>((759743+173400)/12)</f>
        <v>77761.916666666672</v>
      </c>
      <c r="I23" s="53">
        <f>((759743+173400)/12)+((1106509+606290)/10*0.5)</f>
        <v>163401.86666666667</v>
      </c>
      <c r="J23" s="53">
        <f>((759743+173400)/12)+((1106509+606290)/10)</f>
        <v>249041.81666666665</v>
      </c>
      <c r="K23" s="55">
        <f t="shared" si="19"/>
        <v>490205.6</v>
      </c>
      <c r="L23" s="47">
        <f t="shared" si="24"/>
        <v>249041.81666666665</v>
      </c>
      <c r="M23" s="47">
        <f t="shared" si="24"/>
        <v>249041.81666666665</v>
      </c>
      <c r="N23" s="47">
        <f t="shared" si="24"/>
        <v>249041.81666666665</v>
      </c>
      <c r="O23" s="55">
        <f t="shared" si="20"/>
        <v>747125.45</v>
      </c>
      <c r="P23" s="47">
        <f t="shared" si="25"/>
        <v>249041.81666666665</v>
      </c>
      <c r="Q23" s="47">
        <f t="shared" si="25"/>
        <v>249041.81666666665</v>
      </c>
      <c r="R23" s="47">
        <f t="shared" si="25"/>
        <v>249041.81666666665</v>
      </c>
      <c r="S23" s="55">
        <f t="shared" si="21"/>
        <v>747125.45</v>
      </c>
      <c r="T23" s="47">
        <f t="shared" si="26"/>
        <v>249041.81666666665</v>
      </c>
      <c r="U23" s="47">
        <f t="shared" si="26"/>
        <v>249041.81666666665</v>
      </c>
      <c r="V23" s="53">
        <f>((759743+173400)/12)+((1106509+606290)/10*0.5)</f>
        <v>163401.86666666667</v>
      </c>
      <c r="W23" s="55">
        <f t="shared" si="22"/>
        <v>661485.5</v>
      </c>
      <c r="X23" s="92"/>
      <c r="Y23" s="93">
        <f t="shared" si="23"/>
        <v>2645942</v>
      </c>
    </row>
    <row r="24" spans="1:25" ht="13" x14ac:dyDescent="0.15">
      <c r="A24" s="41"/>
      <c r="B24" s="2" t="s">
        <v>16</v>
      </c>
      <c r="C24" s="40"/>
      <c r="D24" s="53">
        <v>1726439</v>
      </c>
      <c r="E24" s="54"/>
      <c r="F24" s="53">
        <f>6+17</f>
        <v>23</v>
      </c>
      <c r="G24" s="54"/>
      <c r="H24" s="53">
        <f>1908226/12</f>
        <v>159018.83333333334</v>
      </c>
      <c r="I24" s="47">
        <f t="shared" ref="I24:J24" si="27">+$H24</f>
        <v>159018.83333333334</v>
      </c>
      <c r="J24" s="47">
        <f t="shared" si="27"/>
        <v>159018.83333333334</v>
      </c>
      <c r="K24" s="55">
        <f t="shared" si="19"/>
        <v>477056.5</v>
      </c>
      <c r="L24" s="47">
        <f t="shared" ref="L24:N24" si="28">+$H24</f>
        <v>159018.83333333334</v>
      </c>
      <c r="M24" s="47">
        <f t="shared" si="28"/>
        <v>159018.83333333334</v>
      </c>
      <c r="N24" s="47">
        <f t="shared" si="28"/>
        <v>159018.83333333334</v>
      </c>
      <c r="O24" s="55">
        <f t="shared" si="20"/>
        <v>477056.5</v>
      </c>
      <c r="P24" s="47">
        <f t="shared" ref="P24:R24" si="29">+$H24</f>
        <v>159018.83333333334</v>
      </c>
      <c r="Q24" s="47">
        <f t="shared" si="29"/>
        <v>159018.83333333334</v>
      </c>
      <c r="R24" s="47">
        <f t="shared" si="29"/>
        <v>159018.83333333334</v>
      </c>
      <c r="S24" s="55">
        <f t="shared" si="21"/>
        <v>477056.5</v>
      </c>
      <c r="T24" s="47">
        <f>+$H24</f>
        <v>159018.83333333334</v>
      </c>
      <c r="U24" s="47">
        <f>+$H24</f>
        <v>159018.83333333334</v>
      </c>
      <c r="V24" s="47">
        <f>+$H24</f>
        <v>159018.83333333334</v>
      </c>
      <c r="W24" s="55">
        <f t="shared" si="22"/>
        <v>477056.5</v>
      </c>
      <c r="X24" s="92"/>
      <c r="Y24" s="93">
        <f t="shared" si="23"/>
        <v>1908226</v>
      </c>
    </row>
    <row r="25" spans="1:25" ht="13" x14ac:dyDescent="0.15">
      <c r="A25" s="41"/>
      <c r="B25" s="2" t="s">
        <v>168</v>
      </c>
      <c r="C25" s="40"/>
      <c r="D25" s="53">
        <f>828165+205000+215430</f>
        <v>1248595</v>
      </c>
      <c r="E25" s="54"/>
      <c r="F25" s="53">
        <f>12+35</f>
        <v>47</v>
      </c>
      <c r="G25" s="54"/>
      <c r="H25" s="53">
        <f>(284108/12)+4800+84600+56500</f>
        <v>169575.66666666669</v>
      </c>
      <c r="I25" s="53">
        <f>(284108/12)+((110160+279396+82000)/10*0.5)</f>
        <v>47253.466666666667</v>
      </c>
      <c r="J25" s="53">
        <f>(284108/12)+((110160+279396+82000)/10)</f>
        <v>70831.266666666663</v>
      </c>
      <c r="K25" s="55">
        <f t="shared" si="19"/>
        <v>287660.40000000002</v>
      </c>
      <c r="L25" s="47">
        <f t="shared" ref="L25:U26" si="30">+$J25</f>
        <v>70831.266666666663</v>
      </c>
      <c r="M25" s="47">
        <f t="shared" si="30"/>
        <v>70831.266666666663</v>
      </c>
      <c r="N25" s="47">
        <f>+$J25+(53500/2)+(145000/2)</f>
        <v>170081.26666666666</v>
      </c>
      <c r="O25" s="55">
        <f t="shared" si="20"/>
        <v>311743.8</v>
      </c>
      <c r="P25" s="47">
        <f>+$J25+(12240/3)</f>
        <v>74911.266666666663</v>
      </c>
      <c r="Q25" s="47">
        <f t="shared" ref="Q25" si="31">+$J25+(12240/3)</f>
        <v>74911.266666666663</v>
      </c>
      <c r="R25" s="47">
        <f>+$J25+(12240/3)+18000</f>
        <v>92911.266666666663</v>
      </c>
      <c r="S25" s="55">
        <f t="shared" si="21"/>
        <v>242733.8</v>
      </c>
      <c r="T25" s="47">
        <f t="shared" ref="T25:U25" si="32">+$J25</f>
        <v>70831.266666666663</v>
      </c>
      <c r="U25" s="47">
        <f t="shared" si="32"/>
        <v>70831.266666666663</v>
      </c>
      <c r="V25" s="47">
        <f>+I25+(53500/2)+(145000/2)-2</f>
        <v>146501.46666666667</v>
      </c>
      <c r="W25" s="55">
        <f t="shared" si="22"/>
        <v>288164</v>
      </c>
      <c r="X25" s="92"/>
      <c r="Y25" s="93">
        <f t="shared" si="23"/>
        <v>1130302</v>
      </c>
    </row>
    <row r="26" spans="1:25" ht="13" x14ac:dyDescent="0.15">
      <c r="A26" s="41"/>
      <c r="B26" s="2" t="s">
        <v>169</v>
      </c>
      <c r="C26" s="40"/>
      <c r="D26" s="53">
        <v>3475990</v>
      </c>
      <c r="E26" s="54"/>
      <c r="F26" s="53"/>
      <c r="G26" s="54"/>
      <c r="H26" s="53">
        <f>(3545364+61600)*0.05</f>
        <v>180348.2</v>
      </c>
      <c r="I26" s="53">
        <f>(3545364+61600)*0.07</f>
        <v>252487.48</v>
      </c>
      <c r="J26" s="53">
        <f>(3545364+61600)*0.09</f>
        <v>324626.76</v>
      </c>
      <c r="K26" s="55">
        <f t="shared" si="19"/>
        <v>757462.44000000006</v>
      </c>
      <c r="L26" s="47">
        <f t="shared" si="30"/>
        <v>324626.76</v>
      </c>
      <c r="M26" s="47">
        <f t="shared" si="30"/>
        <v>324626.76</v>
      </c>
      <c r="N26" s="47">
        <f t="shared" si="30"/>
        <v>324626.76</v>
      </c>
      <c r="O26" s="55">
        <f t="shared" si="20"/>
        <v>973880.28</v>
      </c>
      <c r="P26" s="47">
        <f t="shared" si="30"/>
        <v>324626.76</v>
      </c>
      <c r="Q26" s="47">
        <f t="shared" si="30"/>
        <v>324626.76</v>
      </c>
      <c r="R26" s="47">
        <f t="shared" si="30"/>
        <v>324626.76</v>
      </c>
      <c r="S26" s="55">
        <f t="shared" si="21"/>
        <v>973880.28</v>
      </c>
      <c r="T26" s="47">
        <f t="shared" si="30"/>
        <v>324626.76</v>
      </c>
      <c r="U26" s="47">
        <f t="shared" si="30"/>
        <v>324626.76</v>
      </c>
      <c r="V26" s="53">
        <f>(3545364+61600)*0.07</f>
        <v>252487.48</v>
      </c>
      <c r="W26" s="55">
        <f t="shared" si="22"/>
        <v>901741</v>
      </c>
      <c r="X26" s="92"/>
      <c r="Y26" s="84">
        <f t="shared" si="23"/>
        <v>3606964</v>
      </c>
    </row>
    <row r="27" spans="1:25" ht="13" x14ac:dyDescent="0.15">
      <c r="A27" s="2"/>
      <c r="B27" s="49" t="s">
        <v>17</v>
      </c>
      <c r="C27" s="40"/>
      <c r="D27" s="91">
        <f>SUM(D20:D26)</f>
        <v>18367592</v>
      </c>
      <c r="E27" s="94"/>
      <c r="F27" s="91">
        <f>SUM(F20:F26)</f>
        <v>263</v>
      </c>
      <c r="G27" s="94"/>
      <c r="H27" s="91">
        <f>SUM(H20:H26)</f>
        <v>691515.70000000007</v>
      </c>
      <c r="I27" s="91">
        <f>SUM(I20:I26)</f>
        <v>1208466.53</v>
      </c>
      <c r="J27" s="91">
        <f>SUM(J20:J26)</f>
        <v>1871317.3599999999</v>
      </c>
      <c r="K27" s="91">
        <f>SUM(H27:J27)</f>
        <v>3771299.59</v>
      </c>
      <c r="L27" s="91">
        <f>SUM(L20:L26)</f>
        <v>1871317.3599999999</v>
      </c>
      <c r="M27" s="91">
        <f>SUM(M20:M26)</f>
        <v>1871317.3599999999</v>
      </c>
      <c r="N27" s="91">
        <f>SUM(N20:N26)</f>
        <v>1970567.3599999999</v>
      </c>
      <c r="O27" s="91">
        <f>SUM(L27:N27)</f>
        <v>5713202.0800000001</v>
      </c>
      <c r="P27" s="91">
        <f>SUM(P20:P26)</f>
        <v>1875397.3599999999</v>
      </c>
      <c r="Q27" s="91">
        <f>SUM(Q20:Q26)</f>
        <v>1875397.3599999999</v>
      </c>
      <c r="R27" s="91">
        <f>SUM(R20:R26)</f>
        <v>1893397.3599999999</v>
      </c>
      <c r="S27" s="91">
        <f>SUM(P27:R27)</f>
        <v>5644192.0800000001</v>
      </c>
      <c r="T27" s="91">
        <f>SUM(T20:T26)</f>
        <v>1871317.3599999999</v>
      </c>
      <c r="U27" s="91">
        <f>SUM(U20:U26)</f>
        <v>1871317.3599999999</v>
      </c>
      <c r="V27" s="91">
        <f>SUM(V20:V26)</f>
        <v>1307714.53</v>
      </c>
      <c r="W27" s="91">
        <f t="shared" si="22"/>
        <v>5050349.25</v>
      </c>
      <c r="X27" s="92"/>
      <c r="Y27" s="93">
        <f t="shared" si="23"/>
        <v>20179043</v>
      </c>
    </row>
    <row r="28" spans="1:25" ht="13" x14ac:dyDescent="0.15">
      <c r="A28" s="2"/>
      <c r="C28" s="40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2"/>
      <c r="Y28" s="93"/>
    </row>
    <row r="29" spans="1:25" ht="13" x14ac:dyDescent="0.15">
      <c r="A29" s="52" t="s">
        <v>18</v>
      </c>
      <c r="B29" s="2"/>
      <c r="C29" s="40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92"/>
      <c r="Y29" s="93"/>
    </row>
    <row r="30" spans="1:25" ht="13" x14ac:dyDescent="0.15">
      <c r="A30" s="41"/>
      <c r="B30" s="2" t="s">
        <v>170</v>
      </c>
      <c r="C30" s="40"/>
      <c r="D30" s="53">
        <v>387361</v>
      </c>
      <c r="E30" s="54"/>
      <c r="F30" s="54"/>
      <c r="G30" s="54"/>
      <c r="H30" s="53">
        <f>(196900+258179)/12</f>
        <v>37923.25</v>
      </c>
      <c r="I30" s="47">
        <f t="shared" ref="I30:J32" si="33">+$H30</f>
        <v>37923.25</v>
      </c>
      <c r="J30" s="47">
        <f t="shared" si="33"/>
        <v>37923.25</v>
      </c>
      <c r="K30" s="55">
        <f t="shared" ref="K30:K34" si="34">SUM(H30:J30)</f>
        <v>113769.75</v>
      </c>
      <c r="L30" s="47">
        <f t="shared" ref="L30:N32" si="35">+$H30</f>
        <v>37923.25</v>
      </c>
      <c r="M30" s="47">
        <f t="shared" si="35"/>
        <v>37923.25</v>
      </c>
      <c r="N30" s="47">
        <f t="shared" si="35"/>
        <v>37923.25</v>
      </c>
      <c r="O30" s="55">
        <f t="shared" ref="O30:O34" si="36">SUM(L30:N30)</f>
        <v>113769.75</v>
      </c>
      <c r="P30" s="47">
        <f t="shared" ref="P30:R32" si="37">+$H30</f>
        <v>37923.25</v>
      </c>
      <c r="Q30" s="47">
        <f t="shared" si="37"/>
        <v>37923.25</v>
      </c>
      <c r="R30" s="47">
        <f t="shared" si="37"/>
        <v>37923.25</v>
      </c>
      <c r="S30" s="55">
        <f t="shared" ref="S30:S34" si="38">SUM(P30:R30)</f>
        <v>113769.75</v>
      </c>
      <c r="T30" s="47">
        <f t="shared" ref="T30:V32" si="39">+$H30</f>
        <v>37923.25</v>
      </c>
      <c r="U30" s="47">
        <f t="shared" si="39"/>
        <v>37923.25</v>
      </c>
      <c r="V30" s="47">
        <f t="shared" si="39"/>
        <v>37923.25</v>
      </c>
      <c r="W30" s="55">
        <f t="shared" ref="W30:W35" si="40">SUM(T30:V30)</f>
        <v>113769.75</v>
      </c>
      <c r="X30" s="92"/>
      <c r="Y30" s="93">
        <f t="shared" ref="Y30:Y35" si="41">SUM(K30,O30,S30,W30)</f>
        <v>455079</v>
      </c>
    </row>
    <row r="31" spans="1:25" ht="13" x14ac:dyDescent="0.15">
      <c r="A31" s="41"/>
      <c r="B31" s="2" t="s">
        <v>171</v>
      </c>
      <c r="C31" s="40"/>
      <c r="D31" s="53">
        <v>148359</v>
      </c>
      <c r="E31" s="54"/>
      <c r="F31" s="54"/>
      <c r="G31" s="54"/>
      <c r="H31" s="53">
        <f>32820/12</f>
        <v>2735</v>
      </c>
      <c r="I31" s="47">
        <f t="shared" si="33"/>
        <v>2735</v>
      </c>
      <c r="J31" s="47">
        <f t="shared" si="33"/>
        <v>2735</v>
      </c>
      <c r="K31" s="55">
        <f t="shared" si="34"/>
        <v>8205</v>
      </c>
      <c r="L31" s="47">
        <f t="shared" si="35"/>
        <v>2735</v>
      </c>
      <c r="M31" s="47">
        <f t="shared" si="35"/>
        <v>2735</v>
      </c>
      <c r="N31" s="47">
        <f t="shared" si="35"/>
        <v>2735</v>
      </c>
      <c r="O31" s="55">
        <f t="shared" si="36"/>
        <v>8205</v>
      </c>
      <c r="P31" s="47">
        <f t="shared" si="37"/>
        <v>2735</v>
      </c>
      <c r="Q31" s="47">
        <f t="shared" si="37"/>
        <v>2735</v>
      </c>
      <c r="R31" s="47">
        <f t="shared" si="37"/>
        <v>2735</v>
      </c>
      <c r="S31" s="55">
        <f t="shared" si="38"/>
        <v>8205</v>
      </c>
      <c r="T31" s="47">
        <f t="shared" si="39"/>
        <v>2735</v>
      </c>
      <c r="U31" s="47">
        <f t="shared" si="39"/>
        <v>2735</v>
      </c>
      <c r="V31" s="47">
        <f t="shared" si="39"/>
        <v>2735</v>
      </c>
      <c r="W31" s="55">
        <f t="shared" si="40"/>
        <v>8205</v>
      </c>
      <c r="X31" s="92"/>
      <c r="Y31" s="93">
        <f t="shared" si="41"/>
        <v>32820</v>
      </c>
    </row>
    <row r="32" spans="1:25" ht="13" x14ac:dyDescent="0.15">
      <c r="A32" s="41"/>
      <c r="B32" s="2" t="s">
        <v>19</v>
      </c>
      <c r="C32" s="40"/>
      <c r="D32" s="53">
        <v>173282</v>
      </c>
      <c r="E32" s="54"/>
      <c r="F32" s="54"/>
      <c r="G32" s="54"/>
      <c r="H32" s="53">
        <f>181775/12</f>
        <v>15147.916666666666</v>
      </c>
      <c r="I32" s="47">
        <f t="shared" si="33"/>
        <v>15147.916666666666</v>
      </c>
      <c r="J32" s="47">
        <f t="shared" si="33"/>
        <v>15147.916666666666</v>
      </c>
      <c r="K32" s="55">
        <f t="shared" si="34"/>
        <v>45443.75</v>
      </c>
      <c r="L32" s="47">
        <f t="shared" si="35"/>
        <v>15147.916666666666</v>
      </c>
      <c r="M32" s="47">
        <f t="shared" si="35"/>
        <v>15147.916666666666</v>
      </c>
      <c r="N32" s="47">
        <f t="shared" si="35"/>
        <v>15147.916666666666</v>
      </c>
      <c r="O32" s="55">
        <f t="shared" si="36"/>
        <v>45443.75</v>
      </c>
      <c r="P32" s="47">
        <f t="shared" si="37"/>
        <v>15147.916666666666</v>
      </c>
      <c r="Q32" s="47">
        <f t="shared" si="37"/>
        <v>15147.916666666666</v>
      </c>
      <c r="R32" s="47">
        <f t="shared" si="37"/>
        <v>15147.916666666666</v>
      </c>
      <c r="S32" s="55">
        <f t="shared" si="38"/>
        <v>45443.75</v>
      </c>
      <c r="T32" s="47">
        <f t="shared" si="39"/>
        <v>15147.916666666666</v>
      </c>
      <c r="U32" s="47">
        <f t="shared" si="39"/>
        <v>15147.916666666666</v>
      </c>
      <c r="V32" s="47">
        <f t="shared" si="39"/>
        <v>15147.916666666666</v>
      </c>
      <c r="W32" s="55">
        <f t="shared" si="40"/>
        <v>45443.75</v>
      </c>
      <c r="X32" s="92"/>
      <c r="Y32" s="93">
        <f t="shared" si="41"/>
        <v>181775</v>
      </c>
    </row>
    <row r="33" spans="1:25" ht="13" x14ac:dyDescent="0.15">
      <c r="A33" s="41"/>
      <c r="B33" s="41" t="s">
        <v>32</v>
      </c>
      <c r="C33" s="40"/>
      <c r="D33" s="53">
        <v>1169000</v>
      </c>
      <c r="E33" s="54"/>
      <c r="F33" s="54"/>
      <c r="G33" s="54"/>
      <c r="H33" s="53">
        <v>0</v>
      </c>
      <c r="I33" s="53">
        <f>920000/10*0.5</f>
        <v>46000</v>
      </c>
      <c r="J33" s="53">
        <f>920000/10</f>
        <v>92000</v>
      </c>
      <c r="K33" s="55">
        <f>SUM(H33:J33)</f>
        <v>138000</v>
      </c>
      <c r="L33" s="47">
        <f>+$J33</f>
        <v>92000</v>
      </c>
      <c r="M33" s="47">
        <f t="shared" ref="M33:N33" si="42">+$J33</f>
        <v>92000</v>
      </c>
      <c r="N33" s="47">
        <f t="shared" si="42"/>
        <v>92000</v>
      </c>
      <c r="O33" s="55">
        <f>SUM(L33:N33)</f>
        <v>276000</v>
      </c>
      <c r="P33" s="47">
        <f t="shared" ref="P33:R33" si="43">+$J33</f>
        <v>92000</v>
      </c>
      <c r="Q33" s="47">
        <f t="shared" si="43"/>
        <v>92000</v>
      </c>
      <c r="R33" s="47">
        <f t="shared" si="43"/>
        <v>92000</v>
      </c>
      <c r="S33" s="55">
        <f>SUM(P33:R33)</f>
        <v>276000</v>
      </c>
      <c r="T33" s="47">
        <f t="shared" ref="T33:U33" si="44">+$J33</f>
        <v>92000</v>
      </c>
      <c r="U33" s="47">
        <f t="shared" si="44"/>
        <v>92000</v>
      </c>
      <c r="V33" s="47">
        <f>+I33</f>
        <v>46000</v>
      </c>
      <c r="W33" s="55">
        <f>SUM(T33:V33)</f>
        <v>230000</v>
      </c>
      <c r="X33" s="92"/>
      <c r="Y33" s="93">
        <f>SUM(K33,O33,S33,W33)</f>
        <v>920000</v>
      </c>
    </row>
    <row r="34" spans="1:25" ht="13" x14ac:dyDescent="0.15">
      <c r="A34" s="41"/>
      <c r="B34" s="2" t="s">
        <v>172</v>
      </c>
      <c r="C34" s="40"/>
      <c r="D34" s="53">
        <v>477446</v>
      </c>
      <c r="E34" s="54"/>
      <c r="F34" s="54"/>
      <c r="G34" s="54"/>
      <c r="H34" s="53">
        <f>(99357+145450+442358)/12</f>
        <v>57263.75</v>
      </c>
      <c r="I34" s="47">
        <f>+$H34</f>
        <v>57263.75</v>
      </c>
      <c r="J34" s="47">
        <f>+$H34</f>
        <v>57263.75</v>
      </c>
      <c r="K34" s="55">
        <f t="shared" si="34"/>
        <v>171791.25</v>
      </c>
      <c r="L34" s="47">
        <f t="shared" ref="L34:N34" si="45">+$H34</f>
        <v>57263.75</v>
      </c>
      <c r="M34" s="47">
        <f t="shared" si="45"/>
        <v>57263.75</v>
      </c>
      <c r="N34" s="47">
        <f t="shared" si="45"/>
        <v>57263.75</v>
      </c>
      <c r="O34" s="55">
        <f t="shared" si="36"/>
        <v>171791.25</v>
      </c>
      <c r="P34" s="47">
        <f t="shared" ref="P34:R34" si="46">+$H34</f>
        <v>57263.75</v>
      </c>
      <c r="Q34" s="47">
        <f t="shared" si="46"/>
        <v>57263.75</v>
      </c>
      <c r="R34" s="47">
        <f t="shared" si="46"/>
        <v>57263.75</v>
      </c>
      <c r="S34" s="55">
        <f t="shared" si="38"/>
        <v>171791.25</v>
      </c>
      <c r="T34" s="47">
        <f t="shared" ref="T34:V34" si="47">+$H34</f>
        <v>57263.75</v>
      </c>
      <c r="U34" s="47">
        <f t="shared" si="47"/>
        <v>57263.75</v>
      </c>
      <c r="V34" s="47">
        <f t="shared" si="47"/>
        <v>57263.75</v>
      </c>
      <c r="W34" s="55">
        <f t="shared" si="40"/>
        <v>171791.25</v>
      </c>
      <c r="X34" s="92"/>
      <c r="Y34" s="84">
        <f t="shared" si="41"/>
        <v>687165</v>
      </c>
    </row>
    <row r="35" spans="1:25" ht="13" x14ac:dyDescent="0.15">
      <c r="A35" s="2"/>
      <c r="B35" s="49" t="s">
        <v>20</v>
      </c>
      <c r="C35" s="40"/>
      <c r="D35" s="91">
        <f>SUM(D30:D34)</f>
        <v>2355448</v>
      </c>
      <c r="E35" s="94"/>
      <c r="F35" s="94"/>
      <c r="G35" s="94"/>
      <c r="H35" s="91">
        <f>SUM(H30:H34)</f>
        <v>113069.91666666666</v>
      </c>
      <c r="I35" s="91">
        <f>SUM(I30:I34)</f>
        <v>159069.91666666666</v>
      </c>
      <c r="J35" s="91">
        <f>SUM(J30:J34)</f>
        <v>205069.91666666666</v>
      </c>
      <c r="K35" s="91">
        <f>SUM(H35:J35)</f>
        <v>477209.75</v>
      </c>
      <c r="L35" s="91">
        <f>SUM(L30:L34)</f>
        <v>205069.91666666666</v>
      </c>
      <c r="M35" s="91">
        <f>SUM(M30:M34)</f>
        <v>205069.91666666666</v>
      </c>
      <c r="N35" s="91">
        <f>SUM(N30:N34)</f>
        <v>205069.91666666666</v>
      </c>
      <c r="O35" s="91">
        <f>SUM(L35:N35)</f>
        <v>615209.75</v>
      </c>
      <c r="P35" s="91">
        <f>SUM(P30:P34)</f>
        <v>205069.91666666666</v>
      </c>
      <c r="Q35" s="91">
        <f>SUM(Q30:Q34)</f>
        <v>205069.91666666666</v>
      </c>
      <c r="R35" s="91">
        <f>SUM(R30:R34)</f>
        <v>205069.91666666666</v>
      </c>
      <c r="S35" s="91">
        <f>SUM(P35:R35)</f>
        <v>615209.75</v>
      </c>
      <c r="T35" s="91">
        <f>SUM(T30:T34)</f>
        <v>205069.91666666666</v>
      </c>
      <c r="U35" s="91">
        <f>SUM(U30:U34)</f>
        <v>205069.91666666666</v>
      </c>
      <c r="V35" s="91">
        <f>SUM(V30:V34)</f>
        <v>159069.91666666666</v>
      </c>
      <c r="W35" s="91">
        <f t="shared" si="40"/>
        <v>569209.75</v>
      </c>
      <c r="X35" s="92"/>
      <c r="Y35" s="93">
        <f t="shared" si="41"/>
        <v>2276839</v>
      </c>
    </row>
    <row r="36" spans="1:25" ht="13" x14ac:dyDescent="0.15">
      <c r="A36" s="46"/>
      <c r="B36" s="46"/>
      <c r="C36" s="40"/>
      <c r="D36" s="55"/>
      <c r="E36" s="54"/>
      <c r="F36" s="54"/>
      <c r="G36" s="54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92"/>
      <c r="Y36" s="93"/>
    </row>
    <row r="37" spans="1:25" ht="13" x14ac:dyDescent="0.15">
      <c r="A37" s="56" t="s">
        <v>21</v>
      </c>
      <c r="B37" s="41"/>
      <c r="C37" s="40"/>
      <c r="D37" s="55"/>
      <c r="E37" s="54"/>
      <c r="F37" s="54"/>
      <c r="G37" s="54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92"/>
      <c r="Y37" s="93"/>
    </row>
    <row r="38" spans="1:25" ht="13" x14ac:dyDescent="0.15">
      <c r="A38" s="41"/>
      <c r="B38" s="41" t="s">
        <v>22</v>
      </c>
      <c r="C38" s="40"/>
      <c r="D38" s="53">
        <v>2448698</v>
      </c>
      <c r="E38" s="54"/>
      <c r="F38" s="54"/>
      <c r="G38" s="54"/>
      <c r="H38" s="53">
        <f>2776942/12</f>
        <v>231411.83333333334</v>
      </c>
      <c r="I38" s="47">
        <f t="shared" ref="I38:J43" si="48">+$H38</f>
        <v>231411.83333333334</v>
      </c>
      <c r="J38" s="47">
        <f t="shared" si="48"/>
        <v>231411.83333333334</v>
      </c>
      <c r="K38" s="55">
        <f t="shared" ref="K38:K43" si="49">SUM(H38:J38)</f>
        <v>694235.5</v>
      </c>
      <c r="L38" s="47">
        <f t="shared" ref="L38:N43" si="50">+$H38</f>
        <v>231411.83333333334</v>
      </c>
      <c r="M38" s="47">
        <f t="shared" si="50"/>
        <v>231411.83333333334</v>
      </c>
      <c r="N38" s="47">
        <f t="shared" si="50"/>
        <v>231411.83333333334</v>
      </c>
      <c r="O38" s="55">
        <f t="shared" ref="O38:O43" si="51">SUM(L38:N38)</f>
        <v>694235.5</v>
      </c>
      <c r="P38" s="47">
        <f t="shared" ref="P38:R43" si="52">+$H38</f>
        <v>231411.83333333334</v>
      </c>
      <c r="Q38" s="47">
        <f t="shared" si="52"/>
        <v>231411.83333333334</v>
      </c>
      <c r="R38" s="47">
        <f t="shared" si="52"/>
        <v>231411.83333333334</v>
      </c>
      <c r="S38" s="55">
        <f t="shared" ref="S38:S43" si="53">SUM(P38:R38)</f>
        <v>694235.5</v>
      </c>
      <c r="T38" s="47">
        <f t="shared" ref="T38:V43" si="54">+$H38</f>
        <v>231411.83333333334</v>
      </c>
      <c r="U38" s="47">
        <f t="shared" si="54"/>
        <v>231411.83333333334</v>
      </c>
      <c r="V38" s="47">
        <f>+$H38</f>
        <v>231411.83333333334</v>
      </c>
      <c r="W38" s="55">
        <f t="shared" ref="W38:W44" si="55">SUM(T38:V38)</f>
        <v>694235.5</v>
      </c>
      <c r="X38" s="92"/>
      <c r="Y38" s="93">
        <f t="shared" ref="Y38:Y44" si="56">SUM(K38,O38,S38,W38)</f>
        <v>2776942</v>
      </c>
    </row>
    <row r="39" spans="1:25" ht="13" x14ac:dyDescent="0.15">
      <c r="A39" s="41"/>
      <c r="B39" s="41" t="s">
        <v>156</v>
      </c>
      <c r="C39" s="40"/>
      <c r="D39" s="80">
        <v>428813</v>
      </c>
      <c r="E39" s="54"/>
      <c r="F39" s="54"/>
      <c r="G39" s="54"/>
      <c r="H39" s="80">
        <f>519905/12</f>
        <v>43325.416666666664</v>
      </c>
      <c r="I39" s="47">
        <f t="shared" si="48"/>
        <v>43325.416666666664</v>
      </c>
      <c r="J39" s="47">
        <f t="shared" si="48"/>
        <v>43325.416666666664</v>
      </c>
      <c r="K39" s="55">
        <f t="shared" si="49"/>
        <v>129976.25</v>
      </c>
      <c r="L39" s="47">
        <f t="shared" si="50"/>
        <v>43325.416666666664</v>
      </c>
      <c r="M39" s="47">
        <f t="shared" si="50"/>
        <v>43325.416666666664</v>
      </c>
      <c r="N39" s="47">
        <f t="shared" si="50"/>
        <v>43325.416666666664</v>
      </c>
      <c r="O39" s="55">
        <f t="shared" si="51"/>
        <v>129976.25</v>
      </c>
      <c r="P39" s="47">
        <f t="shared" si="52"/>
        <v>43325.416666666664</v>
      </c>
      <c r="Q39" s="47">
        <f t="shared" si="52"/>
        <v>43325.416666666664</v>
      </c>
      <c r="R39" s="47">
        <f t="shared" si="52"/>
        <v>43325.416666666664</v>
      </c>
      <c r="S39" s="55">
        <f t="shared" si="53"/>
        <v>129976.25</v>
      </c>
      <c r="T39" s="47">
        <f t="shared" si="54"/>
        <v>43325.416666666664</v>
      </c>
      <c r="U39" s="47">
        <f t="shared" si="54"/>
        <v>43325.416666666664</v>
      </c>
      <c r="V39" s="47">
        <f t="shared" si="54"/>
        <v>43325.416666666664</v>
      </c>
      <c r="W39" s="55">
        <f t="shared" si="55"/>
        <v>129976.25</v>
      </c>
      <c r="X39" s="92"/>
      <c r="Y39" s="93">
        <f t="shared" si="56"/>
        <v>519905</v>
      </c>
    </row>
    <row r="40" spans="1:25" ht="13" x14ac:dyDescent="0.15">
      <c r="A40" s="41"/>
      <c r="B40" s="41" t="s">
        <v>157</v>
      </c>
      <c r="C40" s="40"/>
      <c r="D40" s="80">
        <v>0</v>
      </c>
      <c r="E40" s="54"/>
      <c r="F40" s="54"/>
      <c r="G40" s="54"/>
      <c r="H40" s="80">
        <v>0</v>
      </c>
      <c r="I40" s="47">
        <f t="shared" si="48"/>
        <v>0</v>
      </c>
      <c r="J40" s="47">
        <f t="shared" si="48"/>
        <v>0</v>
      </c>
      <c r="K40" s="55">
        <f t="shared" si="49"/>
        <v>0</v>
      </c>
      <c r="L40" s="47">
        <f t="shared" si="50"/>
        <v>0</v>
      </c>
      <c r="M40" s="47">
        <f t="shared" si="50"/>
        <v>0</v>
      </c>
      <c r="N40" s="47">
        <f t="shared" si="50"/>
        <v>0</v>
      </c>
      <c r="O40" s="55">
        <f t="shared" si="51"/>
        <v>0</v>
      </c>
      <c r="P40" s="47">
        <f t="shared" si="52"/>
        <v>0</v>
      </c>
      <c r="Q40" s="47">
        <f t="shared" si="52"/>
        <v>0</v>
      </c>
      <c r="R40" s="47">
        <f t="shared" si="52"/>
        <v>0</v>
      </c>
      <c r="S40" s="55">
        <f t="shared" si="53"/>
        <v>0</v>
      </c>
      <c r="T40" s="47">
        <f t="shared" si="54"/>
        <v>0</v>
      </c>
      <c r="U40" s="47">
        <f t="shared" si="54"/>
        <v>0</v>
      </c>
      <c r="V40" s="47">
        <f t="shared" si="54"/>
        <v>0</v>
      </c>
      <c r="W40" s="55">
        <f t="shared" si="55"/>
        <v>0</v>
      </c>
      <c r="X40" s="92"/>
      <c r="Y40" s="93">
        <f t="shared" si="56"/>
        <v>0</v>
      </c>
    </row>
    <row r="41" spans="1:25" ht="13" x14ac:dyDescent="0.15">
      <c r="A41" s="41"/>
      <c r="B41" s="41" t="s">
        <v>23</v>
      </c>
      <c r="C41" s="40"/>
      <c r="D41" s="53">
        <v>207000</v>
      </c>
      <c r="E41" s="54"/>
      <c r="F41" s="54"/>
      <c r="G41" s="54"/>
      <c r="H41" s="53">
        <f>253637/12</f>
        <v>21136.416666666668</v>
      </c>
      <c r="I41" s="47">
        <f t="shared" si="48"/>
        <v>21136.416666666668</v>
      </c>
      <c r="J41" s="47">
        <f t="shared" si="48"/>
        <v>21136.416666666668</v>
      </c>
      <c r="K41" s="55">
        <f t="shared" si="49"/>
        <v>63409.25</v>
      </c>
      <c r="L41" s="47">
        <f t="shared" si="50"/>
        <v>21136.416666666668</v>
      </c>
      <c r="M41" s="47">
        <f t="shared" si="50"/>
        <v>21136.416666666668</v>
      </c>
      <c r="N41" s="47">
        <f t="shared" si="50"/>
        <v>21136.416666666668</v>
      </c>
      <c r="O41" s="55">
        <f t="shared" si="51"/>
        <v>63409.25</v>
      </c>
      <c r="P41" s="47">
        <f t="shared" si="52"/>
        <v>21136.416666666668</v>
      </c>
      <c r="Q41" s="47">
        <f t="shared" si="52"/>
        <v>21136.416666666668</v>
      </c>
      <c r="R41" s="47">
        <f t="shared" si="52"/>
        <v>21136.416666666668</v>
      </c>
      <c r="S41" s="55">
        <f t="shared" si="53"/>
        <v>63409.25</v>
      </c>
      <c r="T41" s="47">
        <f t="shared" si="54"/>
        <v>21136.416666666668</v>
      </c>
      <c r="U41" s="47">
        <f t="shared" si="54"/>
        <v>21136.416666666668</v>
      </c>
      <c r="V41" s="47">
        <f t="shared" si="54"/>
        <v>21136.416666666668</v>
      </c>
      <c r="W41" s="55">
        <f t="shared" si="55"/>
        <v>63409.25</v>
      </c>
      <c r="X41" s="92"/>
      <c r="Y41" s="93">
        <f t="shared" si="56"/>
        <v>253637</v>
      </c>
    </row>
    <row r="42" spans="1:25" ht="13" x14ac:dyDescent="0.15">
      <c r="A42" s="41"/>
      <c r="B42" s="41" t="s">
        <v>24</v>
      </c>
      <c r="C42" s="40"/>
      <c r="D42" s="53">
        <v>698046</v>
      </c>
      <c r="E42" s="54"/>
      <c r="F42" s="54"/>
      <c r="G42" s="54"/>
      <c r="H42" s="53">
        <f>739417/12</f>
        <v>61618.083333333336</v>
      </c>
      <c r="I42" s="47">
        <f t="shared" si="48"/>
        <v>61618.083333333336</v>
      </c>
      <c r="J42" s="47">
        <f t="shared" si="48"/>
        <v>61618.083333333336</v>
      </c>
      <c r="K42" s="55">
        <f t="shared" si="49"/>
        <v>184854.25</v>
      </c>
      <c r="L42" s="47">
        <f t="shared" si="50"/>
        <v>61618.083333333336</v>
      </c>
      <c r="M42" s="47">
        <f t="shared" si="50"/>
        <v>61618.083333333336</v>
      </c>
      <c r="N42" s="47">
        <f t="shared" si="50"/>
        <v>61618.083333333336</v>
      </c>
      <c r="O42" s="55">
        <f t="shared" si="51"/>
        <v>184854.25</v>
      </c>
      <c r="P42" s="47">
        <f t="shared" si="52"/>
        <v>61618.083333333336</v>
      </c>
      <c r="Q42" s="47">
        <f t="shared" si="52"/>
        <v>61618.083333333336</v>
      </c>
      <c r="R42" s="47">
        <f t="shared" si="52"/>
        <v>61618.083333333336</v>
      </c>
      <c r="S42" s="55">
        <f t="shared" si="53"/>
        <v>184854.25</v>
      </c>
      <c r="T42" s="47">
        <f t="shared" si="54"/>
        <v>61618.083333333336</v>
      </c>
      <c r="U42" s="47">
        <f t="shared" si="54"/>
        <v>61618.083333333336</v>
      </c>
      <c r="V42" s="47">
        <f t="shared" si="54"/>
        <v>61618.083333333336</v>
      </c>
      <c r="W42" s="55">
        <f t="shared" si="55"/>
        <v>184854.25</v>
      </c>
      <c r="X42" s="92"/>
      <c r="Y42" s="93">
        <f t="shared" si="56"/>
        <v>739417</v>
      </c>
    </row>
    <row r="43" spans="1:25" ht="13" x14ac:dyDescent="0.15">
      <c r="A43" s="41"/>
      <c r="B43" s="41" t="s">
        <v>158</v>
      </c>
      <c r="C43" s="40"/>
      <c r="D43" s="53">
        <v>519637</v>
      </c>
      <c r="E43" s="54"/>
      <c r="F43" s="54"/>
      <c r="G43" s="54"/>
      <c r="H43" s="53">
        <f>+(394040+103320+40020+30000)/12</f>
        <v>47281.666666666664</v>
      </c>
      <c r="I43" s="47">
        <f t="shared" si="48"/>
        <v>47281.666666666664</v>
      </c>
      <c r="J43" s="47">
        <f t="shared" si="48"/>
        <v>47281.666666666664</v>
      </c>
      <c r="K43" s="55">
        <f t="shared" si="49"/>
        <v>141845</v>
      </c>
      <c r="L43" s="47">
        <f t="shared" si="50"/>
        <v>47281.666666666664</v>
      </c>
      <c r="M43" s="47">
        <f t="shared" si="50"/>
        <v>47281.666666666664</v>
      </c>
      <c r="N43" s="47">
        <f t="shared" si="50"/>
        <v>47281.666666666664</v>
      </c>
      <c r="O43" s="55">
        <f t="shared" si="51"/>
        <v>141845</v>
      </c>
      <c r="P43" s="47">
        <f t="shared" si="52"/>
        <v>47281.666666666664</v>
      </c>
      <c r="Q43" s="47">
        <f t="shared" si="52"/>
        <v>47281.666666666664</v>
      </c>
      <c r="R43" s="47">
        <f t="shared" si="52"/>
        <v>47281.666666666664</v>
      </c>
      <c r="S43" s="55">
        <f t="shared" si="53"/>
        <v>141845</v>
      </c>
      <c r="T43" s="47">
        <f t="shared" si="54"/>
        <v>47281.666666666664</v>
      </c>
      <c r="U43" s="47">
        <f t="shared" si="54"/>
        <v>47281.666666666664</v>
      </c>
      <c r="V43" s="47">
        <f>+$H43-1</f>
        <v>47280.666666666664</v>
      </c>
      <c r="W43" s="55">
        <f t="shared" si="55"/>
        <v>141844</v>
      </c>
      <c r="X43" s="92"/>
      <c r="Y43" s="84">
        <f>SUM(K43,O43,S43,W43)</f>
        <v>567379</v>
      </c>
    </row>
    <row r="44" spans="1:25" ht="13" x14ac:dyDescent="0.15">
      <c r="A44" s="41"/>
      <c r="B44" s="49" t="s">
        <v>25</v>
      </c>
      <c r="C44" s="40"/>
      <c r="D44" s="91">
        <f>SUM(D38:D43)</f>
        <v>4302194</v>
      </c>
      <c r="E44" s="94"/>
      <c r="F44" s="94"/>
      <c r="G44" s="94"/>
      <c r="H44" s="91">
        <f>SUM(H38:H43)</f>
        <v>404773.41666666669</v>
      </c>
      <c r="I44" s="91">
        <f>SUM(I38:I43)</f>
        <v>404773.41666666669</v>
      </c>
      <c r="J44" s="91">
        <f>SUM(J38:J43)</f>
        <v>404773.41666666669</v>
      </c>
      <c r="K44" s="91">
        <f>SUM(H44:J44)</f>
        <v>1214320.25</v>
      </c>
      <c r="L44" s="91">
        <f>SUM(L38:L43)</f>
        <v>404773.41666666669</v>
      </c>
      <c r="M44" s="91">
        <f>SUM(M38:M43)</f>
        <v>404773.41666666669</v>
      </c>
      <c r="N44" s="91">
        <f>SUM(N38:N43)</f>
        <v>404773.41666666669</v>
      </c>
      <c r="O44" s="91">
        <f>SUM(L44:N44)</f>
        <v>1214320.25</v>
      </c>
      <c r="P44" s="91">
        <f>SUM(P38:P43)</f>
        <v>404773.41666666669</v>
      </c>
      <c r="Q44" s="91">
        <f>SUM(Q38:Q43)</f>
        <v>404773.41666666669</v>
      </c>
      <c r="R44" s="91">
        <f>SUM(R38:R43)</f>
        <v>404773.41666666669</v>
      </c>
      <c r="S44" s="91">
        <f>SUM(P44:R44)</f>
        <v>1214320.25</v>
      </c>
      <c r="T44" s="91">
        <f>SUM(T38:T43)</f>
        <v>404773.41666666669</v>
      </c>
      <c r="U44" s="91">
        <f>SUM(U38:U43)</f>
        <v>404773.41666666669</v>
      </c>
      <c r="V44" s="91">
        <f>SUM(V38:V43)</f>
        <v>404772.41666666669</v>
      </c>
      <c r="W44" s="91">
        <f t="shared" si="55"/>
        <v>1214319.25</v>
      </c>
      <c r="X44" s="92"/>
      <c r="Y44" s="93">
        <f t="shared" si="56"/>
        <v>4857280</v>
      </c>
    </row>
    <row r="45" spans="1:25" ht="13" x14ac:dyDescent="0.15">
      <c r="A45" s="41"/>
      <c r="B45" s="46"/>
      <c r="C45" s="40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2"/>
      <c r="Y45" s="93"/>
    </row>
    <row r="46" spans="1:25" ht="13" x14ac:dyDescent="0.15">
      <c r="A46" s="56" t="s">
        <v>160</v>
      </c>
      <c r="B46" s="41"/>
      <c r="C46" s="40"/>
      <c r="D46" s="55"/>
      <c r="E46" s="54"/>
      <c r="F46" s="54"/>
      <c r="G46" s="54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92"/>
      <c r="Y46" s="93"/>
    </row>
    <row r="47" spans="1:25" ht="13" x14ac:dyDescent="0.15">
      <c r="A47" s="41"/>
      <c r="B47" s="41" t="s">
        <v>26</v>
      </c>
      <c r="C47" s="40"/>
      <c r="D47" s="53">
        <v>35720</v>
      </c>
      <c r="E47" s="54"/>
      <c r="F47" s="54"/>
      <c r="G47" s="54"/>
      <c r="H47" s="53">
        <f>42811/12</f>
        <v>3567.5833333333335</v>
      </c>
      <c r="I47" s="47">
        <f t="shared" ref="I47:J58" si="57">+$H47</f>
        <v>3567.5833333333335</v>
      </c>
      <c r="J47" s="47">
        <f t="shared" si="57"/>
        <v>3567.5833333333335</v>
      </c>
      <c r="K47" s="55">
        <f t="shared" ref="K47:K59" si="58">SUM(H47:J47)</f>
        <v>10702.75</v>
      </c>
      <c r="L47" s="47">
        <f t="shared" ref="L47:N58" si="59">+$H47</f>
        <v>3567.5833333333335</v>
      </c>
      <c r="M47" s="47">
        <f t="shared" si="59"/>
        <v>3567.5833333333335</v>
      </c>
      <c r="N47" s="47">
        <f t="shared" si="59"/>
        <v>3567.5833333333335</v>
      </c>
      <c r="O47" s="55">
        <f t="shared" ref="O47:O59" si="60">SUM(L47:N47)</f>
        <v>10702.75</v>
      </c>
      <c r="P47" s="47">
        <f t="shared" ref="P47:R58" si="61">+$H47</f>
        <v>3567.5833333333335</v>
      </c>
      <c r="Q47" s="47">
        <f t="shared" si="61"/>
        <v>3567.5833333333335</v>
      </c>
      <c r="R47" s="47">
        <f t="shared" si="61"/>
        <v>3567.5833333333335</v>
      </c>
      <c r="S47" s="55">
        <f t="shared" ref="S47:S59" si="62">SUM(P47:R47)</f>
        <v>10702.75</v>
      </c>
      <c r="T47" s="47">
        <f t="shared" ref="T47:V58" si="63">+$H47</f>
        <v>3567.5833333333335</v>
      </c>
      <c r="U47" s="47">
        <f t="shared" si="63"/>
        <v>3567.5833333333335</v>
      </c>
      <c r="V47" s="47">
        <f t="shared" ref="V47:V52" si="64">+$H47</f>
        <v>3567.5833333333335</v>
      </c>
      <c r="W47" s="55">
        <f t="shared" ref="W47:W59" si="65">SUM(T47:V47)</f>
        <v>10702.75</v>
      </c>
      <c r="X47" s="92"/>
      <c r="Y47" s="93">
        <f t="shared" ref="Y47:Y59" si="66">SUM(K47,O47,S47,W47)</f>
        <v>42811</v>
      </c>
    </row>
    <row r="48" spans="1:25" ht="13" x14ac:dyDescent="0.15">
      <c r="A48" s="41"/>
      <c r="B48" s="41" t="s">
        <v>27</v>
      </c>
      <c r="C48" s="40"/>
      <c r="D48" s="53">
        <v>95630</v>
      </c>
      <c r="E48" s="54"/>
      <c r="F48" s="54"/>
      <c r="G48" s="54"/>
      <c r="H48" s="53">
        <f>109805/12</f>
        <v>9150.4166666666661</v>
      </c>
      <c r="I48" s="47">
        <f t="shared" si="57"/>
        <v>9150.4166666666661</v>
      </c>
      <c r="J48" s="47">
        <f t="shared" si="57"/>
        <v>9150.4166666666661</v>
      </c>
      <c r="K48" s="55">
        <f t="shared" si="58"/>
        <v>27451.25</v>
      </c>
      <c r="L48" s="47">
        <f t="shared" si="59"/>
        <v>9150.4166666666661</v>
      </c>
      <c r="M48" s="47">
        <f t="shared" si="59"/>
        <v>9150.4166666666661</v>
      </c>
      <c r="N48" s="47">
        <f t="shared" si="59"/>
        <v>9150.4166666666661</v>
      </c>
      <c r="O48" s="55">
        <f t="shared" si="60"/>
        <v>27451.25</v>
      </c>
      <c r="P48" s="47">
        <f t="shared" si="61"/>
        <v>9150.4166666666661</v>
      </c>
      <c r="Q48" s="47">
        <f t="shared" si="61"/>
        <v>9150.4166666666661</v>
      </c>
      <c r="R48" s="47">
        <f t="shared" si="61"/>
        <v>9150.4166666666661</v>
      </c>
      <c r="S48" s="55">
        <f t="shared" si="62"/>
        <v>27451.25</v>
      </c>
      <c r="T48" s="47">
        <f t="shared" si="63"/>
        <v>9150.4166666666661</v>
      </c>
      <c r="U48" s="47">
        <f t="shared" si="63"/>
        <v>9150.4166666666661</v>
      </c>
      <c r="V48" s="47">
        <f t="shared" si="64"/>
        <v>9150.4166666666661</v>
      </c>
      <c r="W48" s="55">
        <f t="shared" si="65"/>
        <v>27451.25</v>
      </c>
      <c r="X48" s="92"/>
      <c r="Y48" s="93">
        <f t="shared" si="66"/>
        <v>109805</v>
      </c>
    </row>
    <row r="49" spans="1:25" ht="13" x14ac:dyDescent="0.15">
      <c r="A49" s="41"/>
      <c r="B49" s="41" t="s">
        <v>28</v>
      </c>
      <c r="C49" s="40"/>
      <c r="D49" s="53">
        <v>109420</v>
      </c>
      <c r="E49" s="54"/>
      <c r="F49" s="54"/>
      <c r="G49" s="54"/>
      <c r="H49" s="53">
        <f>120082/12</f>
        <v>10006.833333333334</v>
      </c>
      <c r="I49" s="47">
        <f t="shared" si="57"/>
        <v>10006.833333333334</v>
      </c>
      <c r="J49" s="47">
        <f t="shared" si="57"/>
        <v>10006.833333333334</v>
      </c>
      <c r="K49" s="55">
        <f t="shared" si="58"/>
        <v>30020.5</v>
      </c>
      <c r="L49" s="47">
        <f t="shared" si="59"/>
        <v>10006.833333333334</v>
      </c>
      <c r="M49" s="47">
        <f t="shared" si="59"/>
        <v>10006.833333333334</v>
      </c>
      <c r="N49" s="47">
        <f t="shared" si="59"/>
        <v>10006.833333333334</v>
      </c>
      <c r="O49" s="55">
        <f t="shared" si="60"/>
        <v>30020.5</v>
      </c>
      <c r="P49" s="47">
        <f t="shared" si="61"/>
        <v>10006.833333333334</v>
      </c>
      <c r="Q49" s="47">
        <f t="shared" si="61"/>
        <v>10006.833333333334</v>
      </c>
      <c r="R49" s="47">
        <f t="shared" si="61"/>
        <v>10006.833333333334</v>
      </c>
      <c r="S49" s="55">
        <f t="shared" si="62"/>
        <v>30020.5</v>
      </c>
      <c r="T49" s="47">
        <f t="shared" si="63"/>
        <v>10006.833333333334</v>
      </c>
      <c r="U49" s="47">
        <f t="shared" si="63"/>
        <v>10006.833333333334</v>
      </c>
      <c r="V49" s="47">
        <f t="shared" si="64"/>
        <v>10006.833333333334</v>
      </c>
      <c r="W49" s="55">
        <f t="shared" si="65"/>
        <v>30020.5</v>
      </c>
      <c r="X49" s="92"/>
      <c r="Y49" s="93">
        <f t="shared" si="66"/>
        <v>120082</v>
      </c>
    </row>
    <row r="50" spans="1:25" ht="13" x14ac:dyDescent="0.15">
      <c r="A50" s="41"/>
      <c r="B50" s="41" t="s">
        <v>29</v>
      </c>
      <c r="C50" s="40"/>
      <c r="D50" s="53">
        <v>279907</v>
      </c>
      <c r="E50" s="54"/>
      <c r="F50" s="54"/>
      <c r="G50" s="54"/>
      <c r="H50" s="53">
        <f>249940/12</f>
        <v>20828.333333333332</v>
      </c>
      <c r="I50" s="47">
        <f t="shared" si="57"/>
        <v>20828.333333333332</v>
      </c>
      <c r="J50" s="47">
        <f t="shared" si="57"/>
        <v>20828.333333333332</v>
      </c>
      <c r="K50" s="55">
        <f t="shared" si="58"/>
        <v>62485</v>
      </c>
      <c r="L50" s="47">
        <f t="shared" si="59"/>
        <v>20828.333333333332</v>
      </c>
      <c r="M50" s="47">
        <f t="shared" si="59"/>
        <v>20828.333333333332</v>
      </c>
      <c r="N50" s="47">
        <f t="shared" si="59"/>
        <v>20828.333333333332</v>
      </c>
      <c r="O50" s="55">
        <f t="shared" si="60"/>
        <v>62485</v>
      </c>
      <c r="P50" s="47">
        <f t="shared" si="61"/>
        <v>20828.333333333332</v>
      </c>
      <c r="Q50" s="47">
        <f t="shared" si="61"/>
        <v>20828.333333333332</v>
      </c>
      <c r="R50" s="47">
        <f t="shared" si="61"/>
        <v>20828.333333333332</v>
      </c>
      <c r="S50" s="55">
        <f t="shared" si="62"/>
        <v>62485</v>
      </c>
      <c r="T50" s="47">
        <f t="shared" si="63"/>
        <v>20828.333333333332</v>
      </c>
      <c r="U50" s="47">
        <f t="shared" si="63"/>
        <v>20828.333333333332</v>
      </c>
      <c r="V50" s="47">
        <f t="shared" si="64"/>
        <v>20828.333333333332</v>
      </c>
      <c r="W50" s="55">
        <f t="shared" si="65"/>
        <v>62485</v>
      </c>
      <c r="X50" s="92"/>
      <c r="Y50" s="93">
        <f t="shared" si="66"/>
        <v>249940</v>
      </c>
    </row>
    <row r="51" spans="1:25" ht="13" x14ac:dyDescent="0.15">
      <c r="A51" s="41"/>
      <c r="B51" s="41" t="s">
        <v>30</v>
      </c>
      <c r="C51" s="40"/>
      <c r="D51" s="80">
        <v>96944</v>
      </c>
      <c r="E51" s="54"/>
      <c r="F51" s="54"/>
      <c r="G51" s="54"/>
      <c r="H51" s="80">
        <f>84643/12</f>
        <v>7053.583333333333</v>
      </c>
      <c r="I51" s="47">
        <f t="shared" si="57"/>
        <v>7053.583333333333</v>
      </c>
      <c r="J51" s="47">
        <f t="shared" si="57"/>
        <v>7053.583333333333</v>
      </c>
      <c r="K51" s="55">
        <f t="shared" si="58"/>
        <v>21160.75</v>
      </c>
      <c r="L51" s="47">
        <f t="shared" si="59"/>
        <v>7053.583333333333</v>
      </c>
      <c r="M51" s="47">
        <f t="shared" si="59"/>
        <v>7053.583333333333</v>
      </c>
      <c r="N51" s="47">
        <f t="shared" si="59"/>
        <v>7053.583333333333</v>
      </c>
      <c r="O51" s="55">
        <f t="shared" si="60"/>
        <v>21160.75</v>
      </c>
      <c r="P51" s="47">
        <f t="shared" si="61"/>
        <v>7053.583333333333</v>
      </c>
      <c r="Q51" s="47">
        <f t="shared" si="61"/>
        <v>7053.583333333333</v>
      </c>
      <c r="R51" s="47">
        <f t="shared" si="61"/>
        <v>7053.583333333333</v>
      </c>
      <c r="S51" s="55">
        <f t="shared" si="62"/>
        <v>21160.75</v>
      </c>
      <c r="T51" s="47">
        <f t="shared" si="63"/>
        <v>7053.583333333333</v>
      </c>
      <c r="U51" s="47">
        <f t="shared" si="63"/>
        <v>7053.583333333333</v>
      </c>
      <c r="V51" s="47">
        <f t="shared" si="64"/>
        <v>7053.583333333333</v>
      </c>
      <c r="W51" s="55">
        <f t="shared" ref="W51:W56" si="67">SUM(T51:V51)</f>
        <v>21160.75</v>
      </c>
      <c r="X51" s="92"/>
      <c r="Y51" s="93">
        <f t="shared" ref="Y51:Y56" si="68">SUM(K51,O51,S51,W51)</f>
        <v>84643</v>
      </c>
    </row>
    <row r="52" spans="1:25" ht="13" x14ac:dyDescent="0.15">
      <c r="A52" s="41"/>
      <c r="B52" s="41" t="s">
        <v>31</v>
      </c>
      <c r="C52" s="40"/>
      <c r="D52" s="80">
        <v>0</v>
      </c>
      <c r="E52" s="54"/>
      <c r="F52" s="54"/>
      <c r="G52" s="54"/>
      <c r="H52" s="80">
        <v>0</v>
      </c>
      <c r="I52" s="47">
        <f t="shared" si="57"/>
        <v>0</v>
      </c>
      <c r="J52" s="47">
        <f t="shared" si="57"/>
        <v>0</v>
      </c>
      <c r="K52" s="55">
        <f t="shared" si="58"/>
        <v>0</v>
      </c>
      <c r="L52" s="47">
        <f t="shared" si="59"/>
        <v>0</v>
      </c>
      <c r="M52" s="47">
        <f t="shared" si="59"/>
        <v>0</v>
      </c>
      <c r="N52" s="47">
        <f t="shared" si="59"/>
        <v>0</v>
      </c>
      <c r="O52" s="55">
        <f t="shared" si="60"/>
        <v>0</v>
      </c>
      <c r="P52" s="47">
        <f t="shared" si="61"/>
        <v>0</v>
      </c>
      <c r="Q52" s="47">
        <f t="shared" si="61"/>
        <v>0</v>
      </c>
      <c r="R52" s="47">
        <f t="shared" si="61"/>
        <v>0</v>
      </c>
      <c r="S52" s="55">
        <f t="shared" si="62"/>
        <v>0</v>
      </c>
      <c r="T52" s="47">
        <f t="shared" si="63"/>
        <v>0</v>
      </c>
      <c r="U52" s="47">
        <f t="shared" si="63"/>
        <v>0</v>
      </c>
      <c r="V52" s="47">
        <f t="shared" si="64"/>
        <v>0</v>
      </c>
      <c r="W52" s="55">
        <f t="shared" si="67"/>
        <v>0</v>
      </c>
      <c r="X52" s="92"/>
      <c r="Y52" s="93">
        <f t="shared" si="68"/>
        <v>0</v>
      </c>
    </row>
    <row r="53" spans="1:25" ht="13" x14ac:dyDescent="0.15">
      <c r="A53" s="41"/>
      <c r="B53" s="41" t="s">
        <v>161</v>
      </c>
      <c r="C53" s="40"/>
      <c r="D53" s="80">
        <v>365850</v>
      </c>
      <c r="E53" s="54"/>
      <c r="F53" s="54"/>
      <c r="G53" s="54"/>
      <c r="H53" s="80">
        <f>417810/12</f>
        <v>34817.5</v>
      </c>
      <c r="I53" s="47">
        <f t="shared" si="57"/>
        <v>34817.5</v>
      </c>
      <c r="J53" s="47">
        <f t="shared" si="57"/>
        <v>34817.5</v>
      </c>
      <c r="K53" s="55">
        <f t="shared" si="58"/>
        <v>104452.5</v>
      </c>
      <c r="L53" s="47">
        <f t="shared" si="59"/>
        <v>34817.5</v>
      </c>
      <c r="M53" s="47">
        <f t="shared" si="59"/>
        <v>34817.5</v>
      </c>
      <c r="N53" s="47">
        <f t="shared" si="59"/>
        <v>34817.5</v>
      </c>
      <c r="O53" s="55">
        <f t="shared" si="60"/>
        <v>104452.5</v>
      </c>
      <c r="P53" s="47">
        <f t="shared" si="61"/>
        <v>34817.5</v>
      </c>
      <c r="Q53" s="47">
        <f t="shared" si="61"/>
        <v>34817.5</v>
      </c>
      <c r="R53" s="47">
        <f t="shared" si="61"/>
        <v>34817.5</v>
      </c>
      <c r="S53" s="55">
        <f t="shared" si="62"/>
        <v>104452.5</v>
      </c>
      <c r="T53" s="47">
        <f t="shared" si="63"/>
        <v>34817.5</v>
      </c>
      <c r="U53" s="47">
        <f t="shared" si="63"/>
        <v>34817.5</v>
      </c>
      <c r="V53" s="47">
        <f t="shared" si="63"/>
        <v>34817.5</v>
      </c>
      <c r="W53" s="55">
        <f t="shared" si="67"/>
        <v>104452.5</v>
      </c>
      <c r="X53" s="92"/>
      <c r="Y53" s="93">
        <f t="shared" si="68"/>
        <v>417810</v>
      </c>
    </row>
    <row r="54" spans="1:25" ht="13" x14ac:dyDescent="0.15">
      <c r="A54" s="41"/>
      <c r="B54" s="41" t="s">
        <v>162</v>
      </c>
      <c r="C54" s="40"/>
      <c r="D54" s="80">
        <v>240096</v>
      </c>
      <c r="E54" s="54"/>
      <c r="F54" s="54"/>
      <c r="G54" s="54"/>
      <c r="H54" s="80">
        <f>268432/2</f>
        <v>134216</v>
      </c>
      <c r="I54" s="47">
        <v>0</v>
      </c>
      <c r="J54" s="47">
        <v>0</v>
      </c>
      <c r="K54" s="55">
        <f t="shared" si="58"/>
        <v>134216</v>
      </c>
      <c r="L54" s="80">
        <f>268432/2</f>
        <v>134216</v>
      </c>
      <c r="M54" s="47">
        <v>0</v>
      </c>
      <c r="N54" s="47">
        <v>0</v>
      </c>
      <c r="O54" s="55">
        <f t="shared" si="60"/>
        <v>134216</v>
      </c>
      <c r="P54" s="47">
        <v>0</v>
      </c>
      <c r="Q54" s="47">
        <v>0</v>
      </c>
      <c r="R54" s="47">
        <v>0</v>
      </c>
      <c r="S54" s="55">
        <f t="shared" si="62"/>
        <v>0</v>
      </c>
      <c r="T54" s="47">
        <v>0</v>
      </c>
      <c r="U54" s="47">
        <v>0</v>
      </c>
      <c r="V54" s="47">
        <v>0</v>
      </c>
      <c r="W54" s="55">
        <f t="shared" si="67"/>
        <v>0</v>
      </c>
      <c r="X54" s="92"/>
      <c r="Y54" s="93">
        <f t="shared" si="68"/>
        <v>268432</v>
      </c>
    </row>
    <row r="55" spans="1:25" ht="13" x14ac:dyDescent="0.15">
      <c r="A55" s="41"/>
      <c r="B55" s="41" t="s">
        <v>33</v>
      </c>
      <c r="C55" s="40"/>
      <c r="D55" s="80">
        <v>0</v>
      </c>
      <c r="E55" s="54"/>
      <c r="F55" s="54"/>
      <c r="G55" s="54"/>
      <c r="H55" s="80">
        <v>0</v>
      </c>
      <c r="I55" s="47">
        <f t="shared" si="57"/>
        <v>0</v>
      </c>
      <c r="J55" s="47">
        <f t="shared" si="57"/>
        <v>0</v>
      </c>
      <c r="K55" s="55">
        <f t="shared" si="58"/>
        <v>0</v>
      </c>
      <c r="L55" s="47">
        <f t="shared" si="59"/>
        <v>0</v>
      </c>
      <c r="M55" s="47">
        <f t="shared" si="59"/>
        <v>0</v>
      </c>
      <c r="N55" s="47">
        <f t="shared" si="59"/>
        <v>0</v>
      </c>
      <c r="O55" s="55">
        <f t="shared" si="60"/>
        <v>0</v>
      </c>
      <c r="P55" s="47">
        <f t="shared" si="61"/>
        <v>0</v>
      </c>
      <c r="Q55" s="47">
        <f t="shared" si="61"/>
        <v>0</v>
      </c>
      <c r="R55" s="47">
        <f t="shared" si="61"/>
        <v>0</v>
      </c>
      <c r="S55" s="55">
        <f t="shared" si="62"/>
        <v>0</v>
      </c>
      <c r="T55" s="47">
        <f t="shared" si="63"/>
        <v>0</v>
      </c>
      <c r="U55" s="47">
        <f t="shared" si="63"/>
        <v>0</v>
      </c>
      <c r="V55" s="47">
        <f t="shared" si="63"/>
        <v>0</v>
      </c>
      <c r="W55" s="55">
        <f t="shared" si="67"/>
        <v>0</v>
      </c>
      <c r="X55" s="92"/>
      <c r="Y55" s="93">
        <f t="shared" si="68"/>
        <v>0</v>
      </c>
    </row>
    <row r="56" spans="1:25" ht="13" x14ac:dyDescent="0.15">
      <c r="A56" s="41"/>
      <c r="B56" s="41" t="s">
        <v>163</v>
      </c>
      <c r="C56" s="40"/>
      <c r="D56" s="80">
        <v>0</v>
      </c>
      <c r="E56" s="54"/>
      <c r="F56" s="54"/>
      <c r="G56" s="54"/>
      <c r="H56" s="80">
        <v>0</v>
      </c>
      <c r="I56" s="47">
        <f t="shared" si="57"/>
        <v>0</v>
      </c>
      <c r="J56" s="47">
        <f t="shared" si="57"/>
        <v>0</v>
      </c>
      <c r="K56" s="55">
        <f t="shared" si="58"/>
        <v>0</v>
      </c>
      <c r="L56" s="47">
        <f t="shared" si="59"/>
        <v>0</v>
      </c>
      <c r="M56" s="47">
        <f t="shared" si="59"/>
        <v>0</v>
      </c>
      <c r="N56" s="47">
        <f t="shared" si="59"/>
        <v>0</v>
      </c>
      <c r="O56" s="55">
        <f t="shared" si="60"/>
        <v>0</v>
      </c>
      <c r="P56" s="47">
        <f t="shared" si="61"/>
        <v>0</v>
      </c>
      <c r="Q56" s="47">
        <f t="shared" si="61"/>
        <v>0</v>
      </c>
      <c r="R56" s="47">
        <f t="shared" si="61"/>
        <v>0</v>
      </c>
      <c r="S56" s="55">
        <f t="shared" si="62"/>
        <v>0</v>
      </c>
      <c r="T56" s="47">
        <f t="shared" si="63"/>
        <v>0</v>
      </c>
      <c r="U56" s="47">
        <f t="shared" si="63"/>
        <v>0</v>
      </c>
      <c r="V56" s="47">
        <f t="shared" si="63"/>
        <v>0</v>
      </c>
      <c r="W56" s="55">
        <f t="shared" si="67"/>
        <v>0</v>
      </c>
      <c r="X56" s="92"/>
      <c r="Y56" s="93">
        <f t="shared" si="68"/>
        <v>0</v>
      </c>
    </row>
    <row r="57" spans="1:25" ht="13" x14ac:dyDescent="0.15">
      <c r="A57" s="41"/>
      <c r="B57" s="41" t="s">
        <v>164</v>
      </c>
      <c r="C57" s="40"/>
      <c r="D57" s="53">
        <v>267094</v>
      </c>
      <c r="E57" s="54"/>
      <c r="F57" s="54"/>
      <c r="G57" s="54"/>
      <c r="H57" s="53">
        <f>243667/12</f>
        <v>20305.583333333332</v>
      </c>
      <c r="I57" s="47">
        <f t="shared" si="57"/>
        <v>20305.583333333332</v>
      </c>
      <c r="J57" s="47">
        <f t="shared" si="57"/>
        <v>20305.583333333332</v>
      </c>
      <c r="K57" s="55">
        <f t="shared" si="58"/>
        <v>60916.75</v>
      </c>
      <c r="L57" s="47">
        <f t="shared" si="59"/>
        <v>20305.583333333332</v>
      </c>
      <c r="M57" s="47">
        <f t="shared" si="59"/>
        <v>20305.583333333332</v>
      </c>
      <c r="N57" s="47">
        <f t="shared" si="59"/>
        <v>20305.583333333332</v>
      </c>
      <c r="O57" s="55">
        <f t="shared" si="60"/>
        <v>60916.75</v>
      </c>
      <c r="P57" s="47">
        <f t="shared" si="61"/>
        <v>20305.583333333332</v>
      </c>
      <c r="Q57" s="47">
        <f t="shared" si="61"/>
        <v>20305.583333333332</v>
      </c>
      <c r="R57" s="47">
        <f t="shared" si="61"/>
        <v>20305.583333333332</v>
      </c>
      <c r="S57" s="55">
        <f t="shared" si="62"/>
        <v>60916.75</v>
      </c>
      <c r="T57" s="47">
        <f t="shared" si="63"/>
        <v>20305.583333333332</v>
      </c>
      <c r="U57" s="47">
        <f t="shared" si="63"/>
        <v>20305.583333333332</v>
      </c>
      <c r="V57" s="47">
        <f t="shared" si="63"/>
        <v>20305.583333333332</v>
      </c>
      <c r="W57" s="55">
        <f t="shared" si="65"/>
        <v>60916.75</v>
      </c>
      <c r="X57" s="92"/>
      <c r="Y57" s="93">
        <f t="shared" si="66"/>
        <v>243667</v>
      </c>
    </row>
    <row r="58" spans="1:25" ht="13" x14ac:dyDescent="0.15">
      <c r="A58" s="41"/>
      <c r="B58" s="41" t="s">
        <v>34</v>
      </c>
      <c r="C58" s="40"/>
      <c r="D58" s="53">
        <v>508003</v>
      </c>
      <c r="E58" s="54"/>
      <c r="F58" s="54"/>
      <c r="G58" s="54"/>
      <c r="H58" s="53">
        <f>(15000+31779+61900+23176+7330+3595+122484+40000+31920+74700+142120)/12</f>
        <v>46167</v>
      </c>
      <c r="I58" s="47">
        <f t="shared" si="57"/>
        <v>46167</v>
      </c>
      <c r="J58" s="47">
        <f t="shared" si="57"/>
        <v>46167</v>
      </c>
      <c r="K58" s="55">
        <f t="shared" si="58"/>
        <v>138501</v>
      </c>
      <c r="L58" s="47">
        <f t="shared" si="59"/>
        <v>46167</v>
      </c>
      <c r="M58" s="47">
        <f t="shared" si="59"/>
        <v>46167</v>
      </c>
      <c r="N58" s="47">
        <f t="shared" si="59"/>
        <v>46167</v>
      </c>
      <c r="O58" s="55">
        <f t="shared" si="60"/>
        <v>138501</v>
      </c>
      <c r="P58" s="47">
        <f t="shared" si="61"/>
        <v>46167</v>
      </c>
      <c r="Q58" s="47">
        <f t="shared" si="61"/>
        <v>46167</v>
      </c>
      <c r="R58" s="47">
        <f t="shared" si="61"/>
        <v>46167</v>
      </c>
      <c r="S58" s="55">
        <f t="shared" si="62"/>
        <v>138501</v>
      </c>
      <c r="T58" s="47">
        <f t="shared" si="63"/>
        <v>46167</v>
      </c>
      <c r="U58" s="47">
        <f t="shared" si="63"/>
        <v>46167</v>
      </c>
      <c r="V58" s="47">
        <f>+$H58</f>
        <v>46167</v>
      </c>
      <c r="W58" s="55">
        <f t="shared" si="65"/>
        <v>138501</v>
      </c>
      <c r="X58" s="92"/>
      <c r="Y58" s="84">
        <f t="shared" si="66"/>
        <v>554004</v>
      </c>
    </row>
    <row r="59" spans="1:25" ht="13" x14ac:dyDescent="0.15">
      <c r="A59" s="41"/>
      <c r="B59" s="49" t="s">
        <v>35</v>
      </c>
      <c r="C59" s="40"/>
      <c r="D59" s="91">
        <f>SUM(D47:D58)</f>
        <v>1998664</v>
      </c>
      <c r="E59" s="94"/>
      <c r="F59" s="94"/>
      <c r="G59" s="94"/>
      <c r="H59" s="91">
        <f>SUM(H47:H58)</f>
        <v>286112.83333333337</v>
      </c>
      <c r="I59" s="91">
        <f>SUM(I47:I58)</f>
        <v>151896.83333333331</v>
      </c>
      <c r="J59" s="91">
        <f>SUM(J47:J58)</f>
        <v>151896.83333333331</v>
      </c>
      <c r="K59" s="91">
        <f t="shared" si="58"/>
        <v>589906.5</v>
      </c>
      <c r="L59" s="91">
        <f>SUM(L47:L58)</f>
        <v>286112.83333333337</v>
      </c>
      <c r="M59" s="91">
        <f>SUM(M47:M58)</f>
        <v>151896.83333333331</v>
      </c>
      <c r="N59" s="91">
        <f>SUM(N47:N58)</f>
        <v>151896.83333333331</v>
      </c>
      <c r="O59" s="91">
        <f t="shared" si="60"/>
        <v>589906.5</v>
      </c>
      <c r="P59" s="91">
        <f>SUM(P47:P58)</f>
        <v>151896.83333333331</v>
      </c>
      <c r="Q59" s="91">
        <f>SUM(Q47:Q58)</f>
        <v>151896.83333333331</v>
      </c>
      <c r="R59" s="91">
        <f>SUM(R47:R58)</f>
        <v>151896.83333333331</v>
      </c>
      <c r="S59" s="91">
        <f t="shared" si="62"/>
        <v>455690.49999999994</v>
      </c>
      <c r="T59" s="91">
        <f>SUM(T47:T58)</f>
        <v>151896.83333333331</v>
      </c>
      <c r="U59" s="91">
        <f>SUM(U47:U58)</f>
        <v>151896.83333333331</v>
      </c>
      <c r="V59" s="91">
        <f>SUM(V47:V58)</f>
        <v>151896.83333333331</v>
      </c>
      <c r="W59" s="91">
        <f t="shared" si="65"/>
        <v>455690.49999999994</v>
      </c>
      <c r="X59" s="92"/>
      <c r="Y59" s="93">
        <f t="shared" si="66"/>
        <v>2091194</v>
      </c>
    </row>
    <row r="60" spans="1:25" ht="13" x14ac:dyDescent="0.15">
      <c r="A60" s="41"/>
      <c r="B60" s="46"/>
      <c r="C60" s="40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2"/>
      <c r="Y60" s="93"/>
    </row>
    <row r="61" spans="1:25" ht="13" x14ac:dyDescent="0.15">
      <c r="A61" s="41"/>
      <c r="B61" s="49" t="s">
        <v>165</v>
      </c>
      <c r="C61" s="40"/>
      <c r="D61" s="91">
        <f>D59+D44+D35+D27</f>
        <v>27023898</v>
      </c>
      <c r="E61" s="94"/>
      <c r="F61" s="94"/>
      <c r="G61" s="94"/>
      <c r="H61" s="91">
        <f t="shared" ref="H61:W61" si="69">H59+H44+H35+H27</f>
        <v>1495471.8666666667</v>
      </c>
      <c r="I61" s="91">
        <f t="shared" si="69"/>
        <v>1924206.6966666668</v>
      </c>
      <c r="J61" s="91">
        <f t="shared" si="69"/>
        <v>2633057.5266666664</v>
      </c>
      <c r="K61" s="91">
        <f t="shared" si="69"/>
        <v>6052736.0899999999</v>
      </c>
      <c r="L61" s="91">
        <f t="shared" si="69"/>
        <v>2767273.5266666664</v>
      </c>
      <c r="M61" s="91">
        <f t="shared" si="69"/>
        <v>2633057.5266666664</v>
      </c>
      <c r="N61" s="91">
        <f t="shared" si="69"/>
        <v>2732307.5266666664</v>
      </c>
      <c r="O61" s="91">
        <f t="shared" si="69"/>
        <v>8132638.5800000001</v>
      </c>
      <c r="P61" s="91">
        <f t="shared" si="69"/>
        <v>2637137.5266666664</v>
      </c>
      <c r="Q61" s="91">
        <f t="shared" si="69"/>
        <v>2637137.5266666664</v>
      </c>
      <c r="R61" s="91">
        <f t="shared" si="69"/>
        <v>2655137.5266666664</v>
      </c>
      <c r="S61" s="91">
        <f t="shared" si="69"/>
        <v>7929412.5800000001</v>
      </c>
      <c r="T61" s="91">
        <f t="shared" si="69"/>
        <v>2633057.5266666664</v>
      </c>
      <c r="U61" s="91">
        <f t="shared" si="69"/>
        <v>2633057.5266666664</v>
      </c>
      <c r="V61" s="91">
        <f t="shared" si="69"/>
        <v>2023453.6966666668</v>
      </c>
      <c r="W61" s="96">
        <f t="shared" si="69"/>
        <v>7289568.75</v>
      </c>
      <c r="X61" s="92"/>
      <c r="Y61" s="84">
        <f>SUM(K61,O61,S61,W61)</f>
        <v>29404356</v>
      </c>
    </row>
    <row r="62" spans="1:25" ht="12.75" customHeight="1" x14ac:dyDescent="0.15">
      <c r="A62" s="50" t="s">
        <v>166</v>
      </c>
      <c r="B62" s="49"/>
      <c r="C62" s="40"/>
      <c r="D62" s="91">
        <f>D16-D61</f>
        <v>-346535</v>
      </c>
      <c r="E62" s="94"/>
      <c r="F62" s="94"/>
      <c r="G62" s="94"/>
      <c r="H62" s="91">
        <f t="shared" ref="H62:W62" si="70">H16-H61</f>
        <v>-1298388.5333333334</v>
      </c>
      <c r="I62" s="91">
        <f t="shared" si="70"/>
        <v>-357435.31333333347</v>
      </c>
      <c r="J62" s="91">
        <f t="shared" si="70"/>
        <v>320151.9066666672</v>
      </c>
      <c r="K62" s="91">
        <f t="shared" si="70"/>
        <v>-1335671.9399999995</v>
      </c>
      <c r="L62" s="91">
        <f t="shared" si="70"/>
        <v>169185.9066666672</v>
      </c>
      <c r="M62" s="91">
        <f t="shared" si="70"/>
        <v>303401.9066666672</v>
      </c>
      <c r="N62" s="91">
        <f t="shared" si="70"/>
        <v>220901.9066666672</v>
      </c>
      <c r="O62" s="91">
        <f t="shared" si="70"/>
        <v>693489.72000000067</v>
      </c>
      <c r="P62" s="91">
        <f t="shared" si="70"/>
        <v>299321.9066666672</v>
      </c>
      <c r="Q62" s="91">
        <f t="shared" si="70"/>
        <v>299321.9066666672</v>
      </c>
      <c r="R62" s="91">
        <f t="shared" si="70"/>
        <v>298071.9066666672</v>
      </c>
      <c r="S62" s="91">
        <f t="shared" si="70"/>
        <v>896715.72000000067</v>
      </c>
      <c r="T62" s="91">
        <f t="shared" si="70"/>
        <v>303401.9066666672</v>
      </c>
      <c r="U62" s="91">
        <f t="shared" si="70"/>
        <v>303401.9066666672</v>
      </c>
      <c r="V62" s="91">
        <f t="shared" si="70"/>
        <v>-439933.31333333347</v>
      </c>
      <c r="W62" s="91">
        <f t="shared" si="70"/>
        <v>166870.5</v>
      </c>
      <c r="X62" s="92"/>
      <c r="Y62" s="93">
        <f t="shared" ref="Y62" si="71">SUM(K62,O62,S62,W62)</f>
        <v>421404.00000000186</v>
      </c>
    </row>
    <row r="63" spans="1:25" ht="12.75" customHeight="1" x14ac:dyDescent="0.15">
      <c r="A63" s="50"/>
      <c r="B63" s="46"/>
      <c r="C63" s="40"/>
      <c r="D63" s="97"/>
      <c r="E63" s="94"/>
      <c r="F63" s="94"/>
      <c r="G63" s="94"/>
      <c r="H63" s="97"/>
      <c r="I63" s="97"/>
      <c r="J63" s="97"/>
      <c r="K63" s="94"/>
      <c r="L63" s="97"/>
      <c r="M63" s="97"/>
      <c r="N63" s="97"/>
      <c r="O63" s="94"/>
      <c r="P63" s="97"/>
      <c r="Q63" s="97"/>
      <c r="R63" s="97"/>
      <c r="S63" s="94"/>
      <c r="T63" s="97"/>
      <c r="U63" s="97"/>
      <c r="V63" s="97"/>
      <c r="W63" s="94"/>
      <c r="X63" s="92"/>
      <c r="Y63" s="93"/>
    </row>
    <row r="64" spans="1:25" ht="14" thickBot="1" x14ac:dyDescent="0.2">
      <c r="A64" s="50" t="s">
        <v>36</v>
      </c>
      <c r="B64" s="49"/>
      <c r="C64" s="40"/>
      <c r="D64" s="99">
        <f>D62</f>
        <v>-346535</v>
      </c>
      <c r="E64" s="94"/>
      <c r="F64" s="94"/>
      <c r="G64" s="94"/>
      <c r="H64" s="99">
        <f>H62</f>
        <v>-1298388.5333333334</v>
      </c>
      <c r="I64" s="99">
        <f t="shared" ref="I64:W64" si="72">I62</f>
        <v>-357435.31333333347</v>
      </c>
      <c r="J64" s="99">
        <f t="shared" si="72"/>
        <v>320151.9066666672</v>
      </c>
      <c r="K64" s="99">
        <f t="shared" si="72"/>
        <v>-1335671.9399999995</v>
      </c>
      <c r="L64" s="99">
        <f t="shared" si="72"/>
        <v>169185.9066666672</v>
      </c>
      <c r="M64" s="99">
        <f t="shared" si="72"/>
        <v>303401.9066666672</v>
      </c>
      <c r="N64" s="99">
        <f t="shared" si="72"/>
        <v>220901.9066666672</v>
      </c>
      <c r="O64" s="99">
        <f t="shared" si="72"/>
        <v>693489.72000000067</v>
      </c>
      <c r="P64" s="99">
        <f t="shared" si="72"/>
        <v>299321.9066666672</v>
      </c>
      <c r="Q64" s="99">
        <f t="shared" si="72"/>
        <v>299321.9066666672</v>
      </c>
      <c r="R64" s="99">
        <f t="shared" si="72"/>
        <v>298071.9066666672</v>
      </c>
      <c r="S64" s="99">
        <f t="shared" si="72"/>
        <v>896715.72000000067</v>
      </c>
      <c r="T64" s="99">
        <f t="shared" si="72"/>
        <v>303401.9066666672</v>
      </c>
      <c r="U64" s="99">
        <f t="shared" si="72"/>
        <v>303401.9066666672</v>
      </c>
      <c r="V64" s="99">
        <f t="shared" si="72"/>
        <v>-439933.31333333347</v>
      </c>
      <c r="W64" s="99">
        <f t="shared" si="72"/>
        <v>166870.5</v>
      </c>
      <c r="X64" s="92"/>
      <c r="Y64" s="100">
        <f>SUM(K64,O64,S64,W64)</f>
        <v>421404.00000000186</v>
      </c>
    </row>
    <row r="65" spans="4:25" ht="12.75" customHeight="1" thickTop="1" x14ac:dyDescent="0.15">
      <c r="D65" s="93"/>
      <c r="E65" s="54"/>
      <c r="F65" s="98"/>
      <c r="G65" s="54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</row>
    <row r="66" spans="4:25" ht="12.75" customHeight="1" x14ac:dyDescent="0.15">
      <c r="D66" s="93"/>
      <c r="E66" s="54"/>
      <c r="F66" s="98"/>
      <c r="G66" s="54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</row>
    <row r="67" spans="4:25" ht="12.75" customHeight="1" x14ac:dyDescent="0.15">
      <c r="D67" s="93"/>
      <c r="E67" s="54"/>
      <c r="F67" s="98"/>
      <c r="G67" s="54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</row>
    <row r="68" spans="4:25" ht="12.75" customHeight="1" x14ac:dyDescent="0.15">
      <c r="D68" s="93"/>
      <c r="E68" s="54"/>
      <c r="F68" s="98"/>
      <c r="G68" s="54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</row>
    <row r="69" spans="4:25" ht="12.75" customHeight="1" x14ac:dyDescent="0.15">
      <c r="D69" s="93"/>
      <c r="E69" s="54"/>
      <c r="F69" s="98"/>
      <c r="G69" s="54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</row>
    <row r="70" spans="4:25" ht="12.75" customHeight="1" x14ac:dyDescent="0.15">
      <c r="D70" s="93"/>
      <c r="E70" s="54"/>
      <c r="F70" s="98"/>
      <c r="G70" s="54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</row>
    <row r="71" spans="4:25" ht="12.75" customHeight="1" x14ac:dyDescent="0.15">
      <c r="D71" s="93"/>
      <c r="E71" s="54"/>
      <c r="F71" s="98"/>
      <c r="G71" s="54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</row>
  </sheetData>
  <pageMargins left="0.75" right="0.35" top="0.5" bottom="0.5" header="0.5" footer="0.5"/>
  <pageSetup scale="33" orientation="portrait" horizontalDpi="300" verticalDpi="300" r:id="rId1"/>
  <headerFooter alignWithMargins="0">
    <oddHeader xml:space="preserve">&amp;C&amp;"Arial,Bold"&amp;11
</oddHeader>
    <oddFooter>&amp;RPage &amp;P of &amp;N</oddFooter>
  </headerFooter>
  <ignoredErrors>
    <ignoredError sqref="K10:N16 O7:S16 T10:V12 I33:J33 K30:O35 P33:R33 S30:V35 K20:U27 K38:T53 K55:T59 K54:L54 M54:T54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AC102"/>
  <sheetViews>
    <sheetView showGridLines="0" topLeftCell="A30" workbookViewId="0">
      <selection activeCell="W80" sqref="W80"/>
    </sheetView>
  </sheetViews>
  <sheetFormatPr baseColWidth="10" defaultColWidth="9.1640625" defaultRowHeight="12.75" customHeight="1" x14ac:dyDescent="0.15"/>
  <cols>
    <col min="1" max="1" width="1.83203125" style="38" customWidth="1"/>
    <col min="2" max="2" width="44.33203125" style="38" bestFit="1" customWidth="1"/>
    <col min="3" max="3" width="2.83203125" style="38" customWidth="1"/>
    <col min="4" max="4" width="10.6640625" style="38" customWidth="1"/>
    <col min="5" max="5" width="2.83203125" style="2" customWidth="1"/>
    <col min="6" max="8" width="10.6640625" style="38" hidden="1" customWidth="1"/>
    <col min="9" max="9" width="10.6640625" style="38" customWidth="1"/>
    <col min="10" max="12" width="10.6640625" style="38" hidden="1" customWidth="1"/>
    <col min="13" max="13" width="10.6640625" style="38" customWidth="1"/>
    <col min="14" max="16" width="10.6640625" style="38" hidden="1" customWidth="1"/>
    <col min="17" max="17" width="10.6640625" style="38" customWidth="1"/>
    <col min="18" max="20" width="10.6640625" style="38" hidden="1" customWidth="1"/>
    <col min="21" max="21" width="10.6640625" style="38" customWidth="1"/>
    <col min="22" max="22" width="2.6640625" style="38" customWidth="1"/>
    <col min="23" max="23" width="9.83203125" style="38" bestFit="1" customWidth="1"/>
    <col min="24" max="24" width="12" style="38" bestFit="1" customWidth="1"/>
    <col min="25" max="25" width="12.5" style="38" bestFit="1" customWidth="1"/>
    <col min="26" max="26" width="1.83203125" style="38" customWidth="1"/>
    <col min="27" max="27" width="11.1640625" style="38" bestFit="1" customWidth="1"/>
    <col min="28" max="16384" width="9.1640625" style="38"/>
  </cols>
  <sheetData>
    <row r="1" spans="1:29" ht="12.75" customHeight="1" x14ac:dyDescent="0.15">
      <c r="A1" s="51" t="str">
        <f>'Cover Sheet'!A2</f>
        <v>Center City Public Charter Schools</v>
      </c>
    </row>
    <row r="2" spans="1:29" ht="13" x14ac:dyDescent="0.15">
      <c r="A2" s="38" t="str">
        <f>'Cover Sheet'!A8&amp;" "&amp;'Cover Sheet'!$A$9&amp;" Financials"</f>
        <v>FY2019 Enter Period Financials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45"/>
      <c r="X2" s="2"/>
      <c r="Y2" s="61"/>
    </row>
    <row r="3" spans="1:29" ht="13" x14ac:dyDescent="0.15">
      <c r="A3" s="40"/>
      <c r="B3" s="41"/>
      <c r="C3" s="40"/>
      <c r="D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0"/>
      <c r="W3" s="41"/>
      <c r="X3" s="40"/>
      <c r="Y3" s="41"/>
    </row>
    <row r="4" spans="1:29" ht="13" x14ac:dyDescent="0.15">
      <c r="A4" s="2"/>
      <c r="B4" s="2"/>
      <c r="C4" s="40"/>
      <c r="D4" s="42" t="s">
        <v>149</v>
      </c>
      <c r="E4" s="43"/>
      <c r="F4" s="42" t="s">
        <v>137</v>
      </c>
      <c r="G4" s="42" t="s">
        <v>138</v>
      </c>
      <c r="H4" s="42" t="s">
        <v>139</v>
      </c>
      <c r="I4" s="42" t="s">
        <v>82</v>
      </c>
      <c r="J4" s="42" t="s">
        <v>140</v>
      </c>
      <c r="K4" s="42" t="s">
        <v>141</v>
      </c>
      <c r="L4" s="42" t="s">
        <v>142</v>
      </c>
      <c r="M4" s="42" t="s">
        <v>83</v>
      </c>
      <c r="N4" s="42" t="s">
        <v>143</v>
      </c>
      <c r="O4" s="42" t="s">
        <v>144</v>
      </c>
      <c r="P4" s="42" t="s">
        <v>145</v>
      </c>
      <c r="Q4" s="42" t="s">
        <v>84</v>
      </c>
      <c r="R4" s="42" t="s">
        <v>146</v>
      </c>
      <c r="S4" s="42" t="s">
        <v>147</v>
      </c>
      <c r="T4" s="42" t="s">
        <v>148</v>
      </c>
      <c r="U4" s="42" t="s">
        <v>85</v>
      </c>
      <c r="V4" s="40"/>
      <c r="W4" s="62"/>
      <c r="X4" s="63" t="s">
        <v>0</v>
      </c>
      <c r="Y4" s="62"/>
      <c r="AA4" s="51" t="s">
        <v>151</v>
      </c>
    </row>
    <row r="5" spans="1:29" ht="16" x14ac:dyDescent="0.15">
      <c r="B5" s="2"/>
      <c r="C5" s="40"/>
      <c r="D5" s="44" t="s">
        <v>37</v>
      </c>
      <c r="E5" s="45"/>
      <c r="F5" s="44" t="s">
        <v>37</v>
      </c>
      <c r="G5" s="44" t="s">
        <v>37</v>
      </c>
      <c r="H5" s="44" t="s">
        <v>37</v>
      </c>
      <c r="I5" s="44" t="s">
        <v>37</v>
      </c>
      <c r="J5" s="44" t="s">
        <v>37</v>
      </c>
      <c r="K5" s="44" t="s">
        <v>37</v>
      </c>
      <c r="L5" s="44" t="s">
        <v>37</v>
      </c>
      <c r="M5" s="44" t="s">
        <v>37</v>
      </c>
      <c r="N5" s="44" t="s">
        <v>37</v>
      </c>
      <c r="O5" s="44" t="s">
        <v>37</v>
      </c>
      <c r="P5" s="44" t="s">
        <v>37</v>
      </c>
      <c r="Q5" s="44" t="s">
        <v>37</v>
      </c>
      <c r="R5" s="44" t="s">
        <v>37</v>
      </c>
      <c r="S5" s="44" t="s">
        <v>37</v>
      </c>
      <c r="T5" s="44" t="s">
        <v>37</v>
      </c>
      <c r="U5" s="44" t="s">
        <v>37</v>
      </c>
      <c r="V5" s="40"/>
      <c r="W5" s="44" t="s">
        <v>1</v>
      </c>
      <c r="X5" s="44" t="s">
        <v>2</v>
      </c>
      <c r="Y5" s="44" t="s">
        <v>3</v>
      </c>
      <c r="AA5" s="38" t="s">
        <v>152</v>
      </c>
      <c r="AC5" s="86" t="s">
        <v>173</v>
      </c>
    </row>
    <row r="6" spans="1:29" ht="13" x14ac:dyDescent="0.15">
      <c r="A6" s="46" t="s">
        <v>4</v>
      </c>
      <c r="B6" s="2"/>
      <c r="C6" s="40"/>
      <c r="V6" s="40"/>
      <c r="W6" s="45"/>
      <c r="X6" s="45"/>
      <c r="Y6" s="45"/>
    </row>
    <row r="7" spans="1:29" ht="13" x14ac:dyDescent="0.15">
      <c r="A7" s="41"/>
      <c r="B7" s="41" t="s">
        <v>153</v>
      </c>
      <c r="C7" s="40"/>
      <c r="D7" s="47"/>
      <c r="E7" s="48"/>
      <c r="F7" s="47"/>
      <c r="G7" s="47"/>
      <c r="H7" s="47"/>
      <c r="I7" s="48">
        <f>SUM(F7:H7)</f>
        <v>0</v>
      </c>
      <c r="J7" s="47"/>
      <c r="K7" s="47"/>
      <c r="L7" s="47"/>
      <c r="M7" s="48">
        <f>SUM(J7:L7)</f>
        <v>0</v>
      </c>
      <c r="N7" s="47"/>
      <c r="O7" s="47"/>
      <c r="P7" s="47"/>
      <c r="Q7" s="48">
        <f>SUM(N7:P7)</f>
        <v>0</v>
      </c>
      <c r="R7" s="47"/>
      <c r="S7" s="47"/>
      <c r="T7" s="47"/>
      <c r="U7" s="48">
        <f>SUM(R7:T7)</f>
        <v>0</v>
      </c>
      <c r="V7" s="92"/>
      <c r="W7" s="48">
        <f>SUM(I7,M7,Q7,U7)</f>
        <v>0</v>
      </c>
      <c r="X7" s="48">
        <f>IF('Cover Sheet'!$A$9=References!$A$3,'Annual Budget'!K7,IF('Cover Sheet'!$A$9=References!$A$4,SUM('Annual Budget'!K7,'Annual Budget'!S7),IF('Cover Sheet'!$A$9=References!$A$5,SUM('Annual Budget'!K7,'Annual Budget'!S7,'Annual Budget'!O7),SUM('Annual Budget'!K7,'Annual Budget'!S7,'Annual Budget'!O7,'Annual Budget'!W7))))</f>
        <v>16943813</v>
      </c>
      <c r="Y7" s="55">
        <f>W7-X7</f>
        <v>-16943813</v>
      </c>
      <c r="Z7" s="93"/>
      <c r="AA7" s="48"/>
    </row>
    <row r="8" spans="1:29" ht="13" x14ac:dyDescent="0.15">
      <c r="A8" s="41"/>
      <c r="B8" s="41" t="s">
        <v>154</v>
      </c>
      <c r="C8" s="40"/>
      <c r="D8" s="81"/>
      <c r="E8" s="48"/>
      <c r="F8" s="81"/>
      <c r="G8" s="81"/>
      <c r="H8" s="81"/>
      <c r="I8" s="48">
        <f>SUM(F8:H8)</f>
        <v>0</v>
      </c>
      <c r="J8" s="81"/>
      <c r="K8" s="81"/>
      <c r="L8" s="81"/>
      <c r="M8" s="48">
        <f>SUM(J8:L8)</f>
        <v>0</v>
      </c>
      <c r="N8" s="81"/>
      <c r="O8" s="81"/>
      <c r="P8" s="81"/>
      <c r="Q8" s="48">
        <f>SUM(N8:P8)</f>
        <v>0</v>
      </c>
      <c r="R8" s="81"/>
      <c r="S8" s="81"/>
      <c r="T8" s="81"/>
      <c r="U8" s="48">
        <f>SUM(R8:T8)</f>
        <v>0</v>
      </c>
      <c r="V8" s="92"/>
      <c r="W8" s="48">
        <f>SUM(I8,M8,Q8,U8)</f>
        <v>0</v>
      </c>
      <c r="X8" s="48">
        <f>IF('Cover Sheet'!$A$9=References!$A$3,'Annual Budget'!K8,IF('Cover Sheet'!$A$9=References!$A$4,SUM('Annual Budget'!K8,'Annual Budget'!S8),IF('Cover Sheet'!$A$9=References!$A$5,SUM('Annual Budget'!K8,'Annual Budget'!S8,'Annual Budget'!O8),SUM('Annual Budget'!K8,'Annual Budget'!S8,'Annual Budget'!O8,'Annual Budget'!W8))))</f>
        <v>5215750</v>
      </c>
      <c r="Y8" s="55">
        <f>W8-X8</f>
        <v>-5215750</v>
      </c>
      <c r="Z8" s="93"/>
      <c r="AA8" s="48"/>
    </row>
    <row r="9" spans="1:29" ht="13" x14ac:dyDescent="0.15">
      <c r="A9" s="41"/>
      <c r="B9" s="41" t="s">
        <v>5</v>
      </c>
      <c r="C9" s="40"/>
      <c r="D9" s="47"/>
      <c r="E9" s="48"/>
      <c r="F9" s="47"/>
      <c r="G9" s="47"/>
      <c r="H9" s="47"/>
      <c r="I9" s="48">
        <f t="shared" ref="I9:I16" si="0">SUM(F9:H9)</f>
        <v>0</v>
      </c>
      <c r="J9" s="47"/>
      <c r="K9" s="47"/>
      <c r="L9" s="47"/>
      <c r="M9" s="48">
        <f t="shared" ref="M9:M16" si="1">SUM(J9:L9)</f>
        <v>0</v>
      </c>
      <c r="N9" s="47"/>
      <c r="O9" s="47"/>
      <c r="P9" s="47"/>
      <c r="Q9" s="48">
        <f t="shared" ref="Q9:Q16" si="2">SUM(N9:P9)</f>
        <v>0</v>
      </c>
      <c r="R9" s="47"/>
      <c r="S9" s="47"/>
      <c r="T9" s="47"/>
      <c r="U9" s="48">
        <f t="shared" ref="U9:U16" si="3">SUM(R9:T9)</f>
        <v>0</v>
      </c>
      <c r="V9" s="92"/>
      <c r="W9" s="48">
        <f t="shared" ref="W9:W15" si="4">SUM(I9,M9,Q9,U9)</f>
        <v>0</v>
      </c>
      <c r="X9" s="55">
        <f>IF('Cover Sheet'!$A$9=References!$A$3,'Annual Budget'!K9,IF('Cover Sheet'!$A$9=References!$A$4,SUM('Annual Budget'!K9,'Annual Budget'!S9),IF('Cover Sheet'!$A$9=References!$A$5,SUM('Annual Budget'!K9,'Annual Budget'!S9,'Annual Budget'!O9),SUM('Annual Budget'!K9,'Annual Budget'!S9,'Annual Budget'!O9,'Annual Budget'!W9))))</f>
        <v>4777392</v>
      </c>
      <c r="Y9" s="55">
        <f t="shared" ref="Y9:Y16" si="5">W9-X9</f>
        <v>-4777392</v>
      </c>
      <c r="Z9" s="93"/>
      <c r="AA9" s="93"/>
    </row>
    <row r="10" spans="1:29" ht="13" x14ac:dyDescent="0.15">
      <c r="A10" s="41"/>
      <c r="B10" s="41" t="s">
        <v>167</v>
      </c>
      <c r="C10" s="40"/>
      <c r="D10" s="47"/>
      <c r="E10" s="48"/>
      <c r="F10" s="47"/>
      <c r="G10" s="47"/>
      <c r="H10" s="47"/>
      <c r="I10" s="48">
        <f t="shared" si="0"/>
        <v>0</v>
      </c>
      <c r="J10" s="47"/>
      <c r="K10" s="47"/>
      <c r="L10" s="47"/>
      <c r="M10" s="48">
        <f t="shared" si="1"/>
        <v>0</v>
      </c>
      <c r="N10" s="47"/>
      <c r="O10" s="47"/>
      <c r="P10" s="47"/>
      <c r="Q10" s="48">
        <f t="shared" si="2"/>
        <v>0</v>
      </c>
      <c r="R10" s="47"/>
      <c r="S10" s="47"/>
      <c r="T10" s="47"/>
      <c r="U10" s="48">
        <f t="shared" si="3"/>
        <v>0</v>
      </c>
      <c r="V10" s="92"/>
      <c r="W10" s="48">
        <f t="shared" si="4"/>
        <v>0</v>
      </c>
      <c r="X10" s="55">
        <f>IF('Cover Sheet'!$A$9=References!$A$3,'Annual Budget'!K10,IF('Cover Sheet'!$A$9=References!$A$4,SUM('Annual Budget'!K10,'Annual Budget'!S10),IF('Cover Sheet'!$A$9=References!$A$5,SUM('Annual Budget'!K10,'Annual Budget'!S10,'Annual Budget'!O10),SUM('Annual Budget'!K10,'Annual Budget'!S10,'Annual Budget'!O10,'Annual Budget'!W10))))</f>
        <v>2260000</v>
      </c>
      <c r="Y10" s="55">
        <f t="shared" si="5"/>
        <v>-2260000</v>
      </c>
      <c r="Z10" s="93"/>
      <c r="AA10" s="93"/>
      <c r="AC10" s="51" t="s">
        <v>176</v>
      </c>
    </row>
    <row r="11" spans="1:29" ht="13" x14ac:dyDescent="0.15">
      <c r="A11" s="41"/>
      <c r="B11" s="41" t="s">
        <v>6</v>
      </c>
      <c r="C11" s="40"/>
      <c r="D11" s="47"/>
      <c r="E11" s="48"/>
      <c r="F11" s="47"/>
      <c r="G11" s="47"/>
      <c r="H11" s="47"/>
      <c r="I11" s="48">
        <f t="shared" si="0"/>
        <v>0</v>
      </c>
      <c r="J11" s="47"/>
      <c r="K11" s="47"/>
      <c r="L11" s="47"/>
      <c r="M11" s="48">
        <f t="shared" si="1"/>
        <v>0</v>
      </c>
      <c r="N11" s="47"/>
      <c r="O11" s="47"/>
      <c r="P11" s="47"/>
      <c r="Q11" s="48">
        <f t="shared" si="2"/>
        <v>0</v>
      </c>
      <c r="R11" s="47"/>
      <c r="S11" s="47"/>
      <c r="T11" s="47"/>
      <c r="U11" s="48">
        <f t="shared" si="3"/>
        <v>0</v>
      </c>
      <c r="V11" s="92"/>
      <c r="W11" s="48">
        <f t="shared" si="4"/>
        <v>0</v>
      </c>
      <c r="X11" s="55">
        <f>IF('Cover Sheet'!$A$9=References!$A$3,'Annual Budget'!K11,IF('Cover Sheet'!$A$9=References!$A$4,SUM('Annual Budget'!K11,'Annual Budget'!S11),IF('Cover Sheet'!$A$9=References!$A$5,SUM('Annual Budget'!K11,'Annual Budget'!S11,'Annual Budget'!O11),SUM('Annual Budget'!K11,'Annual Budget'!S11,'Annual Budget'!O11,'Annual Budget'!W11))))</f>
        <v>44100</v>
      </c>
      <c r="Y11" s="55">
        <f t="shared" si="5"/>
        <v>-44100</v>
      </c>
      <c r="Z11" s="93"/>
      <c r="AA11" s="93"/>
      <c r="AC11" s="51" t="s">
        <v>177</v>
      </c>
    </row>
    <row r="12" spans="1:29" ht="13" x14ac:dyDescent="0.15">
      <c r="A12" s="41"/>
      <c r="B12" s="41" t="s">
        <v>7</v>
      </c>
      <c r="C12" s="40"/>
      <c r="D12" s="47"/>
      <c r="E12" s="48"/>
      <c r="F12" s="47"/>
      <c r="G12" s="47"/>
      <c r="H12" s="47"/>
      <c r="I12" s="48">
        <f t="shared" si="0"/>
        <v>0</v>
      </c>
      <c r="J12" s="47"/>
      <c r="K12" s="47"/>
      <c r="L12" s="47"/>
      <c r="M12" s="48">
        <f t="shared" si="1"/>
        <v>0</v>
      </c>
      <c r="N12" s="47"/>
      <c r="O12" s="47"/>
      <c r="P12" s="47"/>
      <c r="Q12" s="48">
        <f t="shared" si="2"/>
        <v>0</v>
      </c>
      <c r="R12" s="47"/>
      <c r="S12" s="47"/>
      <c r="T12" s="47"/>
      <c r="U12" s="48">
        <f t="shared" si="3"/>
        <v>0</v>
      </c>
      <c r="V12" s="92"/>
      <c r="W12" s="48">
        <f t="shared" si="4"/>
        <v>0</v>
      </c>
      <c r="X12" s="55">
        <f>IF('Cover Sheet'!$A$9=References!$A$3,'Annual Budget'!K12,IF('Cover Sheet'!$A$9=References!$A$4,SUM('Annual Budget'!K12,'Annual Budget'!S12),IF('Cover Sheet'!$A$9=References!$A$5,SUM('Annual Budget'!K12,'Annual Budget'!S12,'Annual Budget'!O12),SUM('Annual Budget'!K12,'Annual Budget'!S12,'Annual Budget'!O12,'Annual Budget'!W12))))</f>
        <v>67000</v>
      </c>
      <c r="Y12" s="55">
        <f t="shared" si="5"/>
        <v>-67000</v>
      </c>
      <c r="Z12" s="93"/>
      <c r="AA12" s="93"/>
    </row>
    <row r="13" spans="1:29" ht="13" x14ac:dyDescent="0.15">
      <c r="A13" s="41"/>
      <c r="B13" s="41" t="s">
        <v>8</v>
      </c>
      <c r="C13" s="40"/>
      <c r="D13" s="47"/>
      <c r="E13" s="48"/>
      <c r="F13" s="47"/>
      <c r="G13" s="47"/>
      <c r="H13" s="47"/>
      <c r="I13" s="48">
        <f t="shared" si="0"/>
        <v>0</v>
      </c>
      <c r="J13" s="47"/>
      <c r="K13" s="47"/>
      <c r="L13" s="47"/>
      <c r="M13" s="48">
        <f t="shared" si="1"/>
        <v>0</v>
      </c>
      <c r="N13" s="47"/>
      <c r="O13" s="47"/>
      <c r="P13" s="47"/>
      <c r="Q13" s="48">
        <f t="shared" si="2"/>
        <v>0</v>
      </c>
      <c r="R13" s="47"/>
      <c r="S13" s="47"/>
      <c r="T13" s="47"/>
      <c r="U13" s="48">
        <f t="shared" si="3"/>
        <v>0</v>
      </c>
      <c r="V13" s="92"/>
      <c r="W13" s="48">
        <f t="shared" si="4"/>
        <v>0</v>
      </c>
      <c r="X13" s="55">
        <f>IF('Cover Sheet'!$A$9=References!$A$3,'Annual Budget'!K13,IF('Cover Sheet'!$A$9=References!$A$4,SUM('Annual Budget'!K13,'Annual Budget'!S13),IF('Cover Sheet'!$A$9=References!$A$5,SUM('Annual Budget'!K13,'Annual Budget'!S13,'Annual Budget'!O13),SUM('Annual Budget'!K13,'Annual Budget'!S13,'Annual Budget'!O13,'Annual Budget'!W13))))</f>
        <v>412705</v>
      </c>
      <c r="Y13" s="55">
        <f t="shared" si="5"/>
        <v>-412705</v>
      </c>
      <c r="Z13" s="93"/>
      <c r="AA13" s="93"/>
    </row>
    <row r="14" spans="1:29" ht="13" x14ac:dyDescent="0.15">
      <c r="A14" s="41"/>
      <c r="B14" s="41" t="s">
        <v>155</v>
      </c>
      <c r="C14" s="40"/>
      <c r="D14" s="81"/>
      <c r="E14" s="48"/>
      <c r="F14" s="81"/>
      <c r="G14" s="81"/>
      <c r="H14" s="81"/>
      <c r="I14" s="48">
        <f t="shared" si="0"/>
        <v>0</v>
      </c>
      <c r="J14" s="81"/>
      <c r="K14" s="81"/>
      <c r="L14" s="81"/>
      <c r="M14" s="48">
        <f t="shared" si="1"/>
        <v>0</v>
      </c>
      <c r="N14" s="81"/>
      <c r="O14" s="81"/>
      <c r="P14" s="81"/>
      <c r="Q14" s="48">
        <f t="shared" si="2"/>
        <v>0</v>
      </c>
      <c r="R14" s="81"/>
      <c r="S14" s="81"/>
      <c r="T14" s="81"/>
      <c r="U14" s="48">
        <f t="shared" si="3"/>
        <v>0</v>
      </c>
      <c r="V14" s="92"/>
      <c r="W14" s="48">
        <f t="shared" si="4"/>
        <v>0</v>
      </c>
      <c r="X14" s="55">
        <f>IF('Cover Sheet'!$A$9=References!$A$3,'Annual Budget'!K14,IF('Cover Sheet'!$A$9=References!$A$4,SUM('Annual Budget'!K14,'Annual Budget'!S14),IF('Cover Sheet'!$A$9=References!$A$5,SUM('Annual Budget'!K14,'Annual Budget'!S14,'Annual Budget'!O14),SUM('Annual Budget'!K14,'Annual Budget'!S14,'Annual Budget'!O14,'Annual Budget'!W14))))</f>
        <v>0</v>
      </c>
      <c r="Y14" s="55">
        <f t="shared" si="5"/>
        <v>0</v>
      </c>
      <c r="Z14" s="93"/>
      <c r="AA14" s="93"/>
    </row>
    <row r="15" spans="1:29" ht="13" x14ac:dyDescent="0.15">
      <c r="A15" s="41"/>
      <c r="B15" s="41" t="s">
        <v>9</v>
      </c>
      <c r="C15" s="40"/>
      <c r="D15" s="47"/>
      <c r="E15" s="48"/>
      <c r="F15" s="47"/>
      <c r="G15" s="47"/>
      <c r="H15" s="47"/>
      <c r="I15" s="48">
        <f t="shared" si="0"/>
        <v>0</v>
      </c>
      <c r="J15" s="47"/>
      <c r="K15" s="47"/>
      <c r="L15" s="47"/>
      <c r="M15" s="48">
        <f t="shared" si="1"/>
        <v>0</v>
      </c>
      <c r="N15" s="47"/>
      <c r="O15" s="47"/>
      <c r="P15" s="47"/>
      <c r="Q15" s="48">
        <f t="shared" si="2"/>
        <v>0</v>
      </c>
      <c r="R15" s="47"/>
      <c r="S15" s="47"/>
      <c r="T15" s="47"/>
      <c r="U15" s="48">
        <f t="shared" si="3"/>
        <v>0</v>
      </c>
      <c r="V15" s="92"/>
      <c r="W15" s="48">
        <f t="shared" si="4"/>
        <v>0</v>
      </c>
      <c r="X15" s="55">
        <f>IF('Cover Sheet'!$A$9=References!$A$3,'Annual Budget'!K15,IF('Cover Sheet'!$A$9=References!$A$4,SUM('Annual Budget'!K15,'Annual Budget'!S15),IF('Cover Sheet'!$A$9=References!$A$5,SUM('Annual Budget'!K15,'Annual Budget'!S15,'Annual Budget'!O15),SUM('Annual Budget'!K15,'Annual Budget'!S15,'Annual Budget'!O15,'Annual Budget'!W15))))</f>
        <v>105000</v>
      </c>
      <c r="Y15" s="55">
        <f t="shared" si="5"/>
        <v>-105000</v>
      </c>
      <c r="Z15" s="93"/>
      <c r="AA15" s="93"/>
    </row>
    <row r="16" spans="1:29" ht="13" x14ac:dyDescent="0.15">
      <c r="A16" s="41"/>
      <c r="B16" s="49" t="s">
        <v>10</v>
      </c>
      <c r="C16" s="40"/>
      <c r="D16" s="91">
        <f>SUM(D7:D15)</f>
        <v>0</v>
      </c>
      <c r="E16" s="94"/>
      <c r="F16" s="91">
        <f>SUM(F7:F15)</f>
        <v>0</v>
      </c>
      <c r="G16" s="91">
        <f>SUM(G7:G15)</f>
        <v>0</v>
      </c>
      <c r="H16" s="91">
        <f>SUM(H7:H15)</f>
        <v>0</v>
      </c>
      <c r="I16" s="91">
        <f t="shared" si="0"/>
        <v>0</v>
      </c>
      <c r="J16" s="91">
        <f>SUM(J7:J15)</f>
        <v>0</v>
      </c>
      <c r="K16" s="91">
        <f>SUM(K7:K15)</f>
        <v>0</v>
      </c>
      <c r="L16" s="91">
        <f>SUM(L7:L15)</f>
        <v>0</v>
      </c>
      <c r="M16" s="91">
        <f t="shared" si="1"/>
        <v>0</v>
      </c>
      <c r="N16" s="91">
        <f>SUM(N7:N15)</f>
        <v>0</v>
      </c>
      <c r="O16" s="91">
        <f>SUM(O7:O15)</f>
        <v>0</v>
      </c>
      <c r="P16" s="91">
        <f>SUM(P7:P15)</f>
        <v>0</v>
      </c>
      <c r="Q16" s="91">
        <f t="shared" si="2"/>
        <v>0</v>
      </c>
      <c r="R16" s="91">
        <f>SUM(R7:R15)</f>
        <v>0</v>
      </c>
      <c r="S16" s="91">
        <f>SUM(S7:S15)</f>
        <v>0</v>
      </c>
      <c r="T16" s="91">
        <f>SUM(T7:T15)</f>
        <v>0</v>
      </c>
      <c r="U16" s="91">
        <f t="shared" si="3"/>
        <v>0</v>
      </c>
      <c r="V16" s="92"/>
      <c r="W16" s="91">
        <f>SUM(W7:W15)</f>
        <v>0</v>
      </c>
      <c r="X16" s="91">
        <f>SUM(X7:X15)</f>
        <v>29825760</v>
      </c>
      <c r="Y16" s="91">
        <f t="shared" si="5"/>
        <v>-29825760</v>
      </c>
      <c r="Z16" s="93"/>
      <c r="AA16" s="93"/>
    </row>
    <row r="17" spans="1:27" ht="13" x14ac:dyDescent="0.15">
      <c r="A17" s="41"/>
      <c r="B17" s="50"/>
      <c r="C17" s="40"/>
      <c r="D17" s="95"/>
      <c r="E17" s="94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2"/>
      <c r="W17" s="95"/>
      <c r="X17" s="95"/>
      <c r="Y17" s="95"/>
      <c r="Z17" s="93"/>
      <c r="AA17" s="93"/>
    </row>
    <row r="18" spans="1:27" ht="13" x14ac:dyDescent="0.15">
      <c r="A18" s="51" t="s">
        <v>159</v>
      </c>
      <c r="B18" s="2"/>
      <c r="C18" s="40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92"/>
      <c r="W18" s="54"/>
      <c r="X18" s="54"/>
      <c r="Y18" s="54"/>
      <c r="Z18" s="93"/>
      <c r="AA18" s="93"/>
    </row>
    <row r="19" spans="1:27" ht="13" x14ac:dyDescent="0.15">
      <c r="A19" s="52" t="s">
        <v>11</v>
      </c>
      <c r="B19" s="2"/>
      <c r="C19" s="40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92"/>
      <c r="W19" s="54"/>
      <c r="X19" s="54"/>
      <c r="Y19" s="54"/>
      <c r="Z19" s="93"/>
      <c r="AA19" s="93"/>
    </row>
    <row r="20" spans="1:27" ht="13" x14ac:dyDescent="0.15">
      <c r="A20" s="41"/>
      <c r="B20" s="2" t="s">
        <v>12</v>
      </c>
      <c r="C20" s="40"/>
      <c r="D20" s="53"/>
      <c r="E20" s="54"/>
      <c r="F20" s="53"/>
      <c r="G20" s="53"/>
      <c r="H20" s="53"/>
      <c r="I20" s="55">
        <f t="shared" ref="I20:I27" si="6">SUM(F20:H20)</f>
        <v>0</v>
      </c>
      <c r="J20" s="53"/>
      <c r="K20" s="53"/>
      <c r="L20" s="53"/>
      <c r="M20" s="55">
        <f t="shared" ref="M20:M27" si="7">SUM(J20:L20)</f>
        <v>0</v>
      </c>
      <c r="N20" s="53"/>
      <c r="O20" s="53"/>
      <c r="P20" s="53"/>
      <c r="Q20" s="55">
        <f t="shared" ref="Q20:Q27" si="8">SUM(N20:P20)</f>
        <v>0</v>
      </c>
      <c r="R20" s="53"/>
      <c r="S20" s="53"/>
      <c r="T20" s="53"/>
      <c r="U20" s="55">
        <f t="shared" ref="U20:U27" si="9">SUM(R20:T20)</f>
        <v>0</v>
      </c>
      <c r="V20" s="92"/>
      <c r="W20" s="48">
        <f t="shared" ref="W20:W26" si="10">SUM(I20,M20,Q20,U20)</f>
        <v>0</v>
      </c>
      <c r="X20" s="55">
        <f>IF('Cover Sheet'!$A$9=References!$A$3,'Annual Budget'!K20,IF('Cover Sheet'!$A$9=References!$A$4,SUM('Annual Budget'!K20,'Annual Budget'!S20),IF('Cover Sheet'!$A$9=References!$A$5,SUM('Annual Budget'!K20,'Annual Budget'!S20,'Annual Budget'!O20),SUM('Annual Budget'!K20,'Annual Budget'!S20,'Annual Budget'!O20,'Annual Budget'!W20))))</f>
        <v>1257733</v>
      </c>
      <c r="Y20" s="55">
        <f>X20-W20</f>
        <v>1257733</v>
      </c>
      <c r="Z20" s="93"/>
      <c r="AA20" s="93"/>
    </row>
    <row r="21" spans="1:27" ht="13" x14ac:dyDescent="0.15">
      <c r="A21" s="41"/>
      <c r="B21" s="2" t="s">
        <v>13</v>
      </c>
      <c r="C21" s="40"/>
      <c r="D21" s="53"/>
      <c r="E21" s="54"/>
      <c r="F21" s="53"/>
      <c r="G21" s="53"/>
      <c r="H21" s="53"/>
      <c r="I21" s="55">
        <f t="shared" si="6"/>
        <v>0</v>
      </c>
      <c r="J21" s="53"/>
      <c r="K21" s="53"/>
      <c r="L21" s="53"/>
      <c r="M21" s="55">
        <f t="shared" si="7"/>
        <v>0</v>
      </c>
      <c r="N21" s="53"/>
      <c r="O21" s="53"/>
      <c r="P21" s="53"/>
      <c r="Q21" s="55">
        <f t="shared" si="8"/>
        <v>0</v>
      </c>
      <c r="R21" s="53"/>
      <c r="S21" s="53"/>
      <c r="T21" s="53"/>
      <c r="U21" s="55">
        <f t="shared" si="9"/>
        <v>0</v>
      </c>
      <c r="V21" s="92"/>
      <c r="W21" s="48">
        <f t="shared" si="10"/>
        <v>0</v>
      </c>
      <c r="X21" s="55">
        <f>IF('Cover Sheet'!$A$9=References!$A$3,'Annual Budget'!K21,IF('Cover Sheet'!$A$9=References!$A$4,SUM('Annual Budget'!K21,'Annual Budget'!S21),IF('Cover Sheet'!$A$9=References!$A$5,SUM('Annual Budget'!K21,'Annual Budget'!S21,'Annual Budget'!O21),SUM('Annual Budget'!K21,'Annual Budget'!S21,'Annual Budget'!O21,'Annual Budget'!W21))))</f>
        <v>7079226</v>
      </c>
      <c r="Y21" s="55">
        <f t="shared" ref="Y21:Y26" si="11">X21-W21</f>
        <v>7079226</v>
      </c>
      <c r="Z21" s="93"/>
      <c r="AA21" s="93"/>
    </row>
    <row r="22" spans="1:27" ht="13" x14ac:dyDescent="0.15">
      <c r="A22" s="41"/>
      <c r="B22" s="2" t="s">
        <v>14</v>
      </c>
      <c r="C22" s="40"/>
      <c r="D22" s="53"/>
      <c r="E22" s="54"/>
      <c r="F22" s="53"/>
      <c r="G22" s="53"/>
      <c r="H22" s="53"/>
      <c r="I22" s="55">
        <f t="shared" si="6"/>
        <v>0</v>
      </c>
      <c r="J22" s="53"/>
      <c r="K22" s="53"/>
      <c r="L22" s="53"/>
      <c r="M22" s="55">
        <f t="shared" si="7"/>
        <v>0</v>
      </c>
      <c r="N22" s="53"/>
      <c r="O22" s="53"/>
      <c r="P22" s="53"/>
      <c r="Q22" s="55">
        <f t="shared" si="8"/>
        <v>0</v>
      </c>
      <c r="R22" s="53"/>
      <c r="S22" s="53"/>
      <c r="T22" s="53"/>
      <c r="U22" s="55">
        <f t="shared" si="9"/>
        <v>0</v>
      </c>
      <c r="V22" s="92"/>
      <c r="W22" s="48">
        <f t="shared" si="10"/>
        <v>0</v>
      </c>
      <c r="X22" s="55">
        <f>IF('Cover Sheet'!$A$9=References!$A$3,'Annual Budget'!K22,IF('Cover Sheet'!$A$9=References!$A$4,SUM('Annual Budget'!K22,'Annual Budget'!S22),IF('Cover Sheet'!$A$9=References!$A$5,SUM('Annual Budget'!K22,'Annual Budget'!S22,'Annual Budget'!O22),SUM('Annual Budget'!K22,'Annual Budget'!S22,'Annual Budget'!O22,'Annual Budget'!W22))))</f>
        <v>2550650</v>
      </c>
      <c r="Y22" s="55">
        <f t="shared" si="11"/>
        <v>2550650</v>
      </c>
      <c r="Z22" s="93"/>
      <c r="AA22" s="93"/>
    </row>
    <row r="23" spans="1:27" ht="13" x14ac:dyDescent="0.15">
      <c r="A23" s="41"/>
      <c r="B23" s="2" t="s">
        <v>15</v>
      </c>
      <c r="C23" s="40"/>
      <c r="D23" s="53"/>
      <c r="E23" s="54"/>
      <c r="F23" s="53"/>
      <c r="G23" s="53"/>
      <c r="H23" s="53"/>
      <c r="I23" s="55">
        <f t="shared" si="6"/>
        <v>0</v>
      </c>
      <c r="J23" s="53"/>
      <c r="K23" s="53"/>
      <c r="L23" s="53"/>
      <c r="M23" s="55">
        <f t="shared" si="7"/>
        <v>0</v>
      </c>
      <c r="N23" s="53"/>
      <c r="O23" s="53"/>
      <c r="P23" s="53"/>
      <c r="Q23" s="55">
        <f t="shared" si="8"/>
        <v>0</v>
      </c>
      <c r="R23" s="53"/>
      <c r="S23" s="53"/>
      <c r="T23" s="53"/>
      <c r="U23" s="55">
        <f t="shared" si="9"/>
        <v>0</v>
      </c>
      <c r="V23" s="92"/>
      <c r="W23" s="48">
        <f t="shared" si="10"/>
        <v>0</v>
      </c>
      <c r="X23" s="55">
        <f>IF('Cover Sheet'!$A$9=References!$A$3,'Annual Budget'!K23,IF('Cover Sheet'!$A$9=References!$A$4,SUM('Annual Budget'!K23,'Annual Budget'!S23),IF('Cover Sheet'!$A$9=References!$A$5,SUM('Annual Budget'!K23,'Annual Budget'!S23,'Annual Budget'!O23),SUM('Annual Budget'!K23,'Annual Budget'!S23,'Annual Budget'!O23,'Annual Budget'!W23))))</f>
        <v>2645942</v>
      </c>
      <c r="Y23" s="55">
        <f t="shared" si="11"/>
        <v>2645942</v>
      </c>
      <c r="Z23" s="93"/>
      <c r="AA23" s="93"/>
    </row>
    <row r="24" spans="1:27" ht="13" x14ac:dyDescent="0.15">
      <c r="A24" s="41"/>
      <c r="B24" s="2" t="s">
        <v>16</v>
      </c>
      <c r="C24" s="40"/>
      <c r="D24" s="53"/>
      <c r="E24" s="54"/>
      <c r="F24" s="53"/>
      <c r="G24" s="53"/>
      <c r="H24" s="53"/>
      <c r="I24" s="55">
        <f t="shared" si="6"/>
        <v>0</v>
      </c>
      <c r="J24" s="53"/>
      <c r="K24" s="53"/>
      <c r="L24" s="53"/>
      <c r="M24" s="55">
        <f t="shared" si="7"/>
        <v>0</v>
      </c>
      <c r="N24" s="53"/>
      <c r="O24" s="53"/>
      <c r="P24" s="53"/>
      <c r="Q24" s="55">
        <f t="shared" si="8"/>
        <v>0</v>
      </c>
      <c r="R24" s="53"/>
      <c r="S24" s="53"/>
      <c r="T24" s="53"/>
      <c r="U24" s="55">
        <f t="shared" si="9"/>
        <v>0</v>
      </c>
      <c r="V24" s="92"/>
      <c r="W24" s="48">
        <f t="shared" si="10"/>
        <v>0</v>
      </c>
      <c r="X24" s="55">
        <f>IF('Cover Sheet'!$A$9=References!$A$3,'Annual Budget'!K24,IF('Cover Sheet'!$A$9=References!$A$4,SUM('Annual Budget'!K24,'Annual Budget'!S24),IF('Cover Sheet'!$A$9=References!$A$5,SUM('Annual Budget'!K24,'Annual Budget'!S24,'Annual Budget'!O24),SUM('Annual Budget'!K24,'Annual Budget'!S24,'Annual Budget'!O24,'Annual Budget'!W24))))</f>
        <v>1908226</v>
      </c>
      <c r="Y24" s="55">
        <f t="shared" si="11"/>
        <v>1908226</v>
      </c>
      <c r="Z24" s="93"/>
      <c r="AA24" s="93"/>
    </row>
    <row r="25" spans="1:27" ht="13" x14ac:dyDescent="0.15">
      <c r="A25" s="41"/>
      <c r="B25" s="2" t="s">
        <v>168</v>
      </c>
      <c r="C25" s="40"/>
      <c r="D25" s="53"/>
      <c r="E25" s="54"/>
      <c r="F25" s="53"/>
      <c r="G25" s="53"/>
      <c r="H25" s="53"/>
      <c r="I25" s="55">
        <f t="shared" si="6"/>
        <v>0</v>
      </c>
      <c r="J25" s="53"/>
      <c r="K25" s="53"/>
      <c r="L25" s="53"/>
      <c r="M25" s="55">
        <f t="shared" si="7"/>
        <v>0</v>
      </c>
      <c r="N25" s="53"/>
      <c r="O25" s="53"/>
      <c r="P25" s="53"/>
      <c r="Q25" s="55">
        <f t="shared" si="8"/>
        <v>0</v>
      </c>
      <c r="R25" s="53"/>
      <c r="S25" s="53"/>
      <c r="T25" s="53"/>
      <c r="U25" s="55">
        <f t="shared" si="9"/>
        <v>0</v>
      </c>
      <c r="V25" s="92"/>
      <c r="W25" s="48">
        <f t="shared" si="10"/>
        <v>0</v>
      </c>
      <c r="X25" s="55">
        <f>IF('Cover Sheet'!$A$9=References!$A$3,'Annual Budget'!K25,IF('Cover Sheet'!$A$9=References!$A$4,SUM('Annual Budget'!K25,'Annual Budget'!S25),IF('Cover Sheet'!$A$9=References!$A$5,SUM('Annual Budget'!K25,'Annual Budget'!S25,'Annual Budget'!O25),SUM('Annual Budget'!K25,'Annual Budget'!S25,'Annual Budget'!O25,'Annual Budget'!W25))))</f>
        <v>1130302</v>
      </c>
      <c r="Y25" s="55">
        <f t="shared" si="11"/>
        <v>1130302</v>
      </c>
      <c r="Z25" s="93"/>
      <c r="AA25" s="93"/>
    </row>
    <row r="26" spans="1:27" ht="13" x14ac:dyDescent="0.15">
      <c r="A26" s="41"/>
      <c r="B26" s="82" t="s">
        <v>169</v>
      </c>
      <c r="C26" s="40"/>
      <c r="D26" s="53"/>
      <c r="E26" s="54"/>
      <c r="F26" s="53"/>
      <c r="G26" s="53"/>
      <c r="H26" s="53"/>
      <c r="I26" s="83">
        <f t="shared" si="6"/>
        <v>0</v>
      </c>
      <c r="J26" s="80"/>
      <c r="K26" s="80"/>
      <c r="L26" s="80"/>
      <c r="M26" s="84">
        <f t="shared" si="7"/>
        <v>0</v>
      </c>
      <c r="N26" s="80"/>
      <c r="O26" s="80"/>
      <c r="P26" s="80"/>
      <c r="Q26" s="84">
        <f t="shared" si="8"/>
        <v>0</v>
      </c>
      <c r="R26" s="80"/>
      <c r="S26" s="80"/>
      <c r="T26" s="80"/>
      <c r="U26" s="84">
        <f t="shared" si="9"/>
        <v>0</v>
      </c>
      <c r="V26" s="102"/>
      <c r="W26" s="85">
        <f t="shared" si="10"/>
        <v>0</v>
      </c>
      <c r="X26" s="84">
        <f>IF('Cover Sheet'!$A$9=References!$A$3,'Annual Budget'!K26,IF('Cover Sheet'!$A$9=References!$A$4,SUM('Annual Budget'!K26,'Annual Budget'!S26),IF('Cover Sheet'!$A$9=References!$A$5,SUM('Annual Budget'!K26,'Annual Budget'!S26,'Annual Budget'!O26),SUM('Annual Budget'!K26,'Annual Budget'!S26,'Annual Budget'!O26,'Annual Budget'!W26))))</f>
        <v>3606964</v>
      </c>
      <c r="Y26" s="84">
        <f t="shared" si="11"/>
        <v>3606964</v>
      </c>
      <c r="Z26" s="93"/>
      <c r="AA26" s="93"/>
    </row>
    <row r="27" spans="1:27" ht="13" x14ac:dyDescent="0.15">
      <c r="A27" s="2"/>
      <c r="B27" s="49" t="s">
        <v>17</v>
      </c>
      <c r="C27" s="40"/>
      <c r="D27" s="91">
        <f>SUM(D20:D26)</f>
        <v>0</v>
      </c>
      <c r="E27" s="94"/>
      <c r="F27" s="91">
        <f>SUM(F20:F26)</f>
        <v>0</v>
      </c>
      <c r="G27" s="91">
        <f>SUM(G20:G26)</f>
        <v>0</v>
      </c>
      <c r="H27" s="91">
        <f>SUM(H20:H26)</f>
        <v>0</v>
      </c>
      <c r="I27" s="91">
        <f t="shared" si="6"/>
        <v>0</v>
      </c>
      <c r="J27" s="91">
        <f>SUM(J20:J26)</f>
        <v>0</v>
      </c>
      <c r="K27" s="91">
        <f>SUM(K20:K26)</f>
        <v>0</v>
      </c>
      <c r="L27" s="91">
        <f>SUM(L20:L26)</f>
        <v>0</v>
      </c>
      <c r="M27" s="91">
        <f t="shared" si="7"/>
        <v>0</v>
      </c>
      <c r="N27" s="91">
        <f>SUM(N20:N26)</f>
        <v>0</v>
      </c>
      <c r="O27" s="91">
        <f>SUM(O20:O26)</f>
        <v>0</v>
      </c>
      <c r="P27" s="91">
        <f>SUM(P20:P26)</f>
        <v>0</v>
      </c>
      <c r="Q27" s="91">
        <f t="shared" si="8"/>
        <v>0</v>
      </c>
      <c r="R27" s="91">
        <f>SUM(R20:R26)</f>
        <v>0</v>
      </c>
      <c r="S27" s="91">
        <f>SUM(S20:S26)</f>
        <v>0</v>
      </c>
      <c r="T27" s="91">
        <f>SUM(T20:T26)</f>
        <v>0</v>
      </c>
      <c r="U27" s="91">
        <f t="shared" si="9"/>
        <v>0</v>
      </c>
      <c r="V27" s="92"/>
      <c r="W27" s="91">
        <f>SUM(W20:W26)</f>
        <v>0</v>
      </c>
      <c r="X27" s="91">
        <f>SUM(X20:X26)</f>
        <v>20179043</v>
      </c>
      <c r="Y27" s="91">
        <f>X27-W27</f>
        <v>20179043</v>
      </c>
      <c r="Z27" s="93"/>
      <c r="AA27" s="93"/>
    </row>
    <row r="28" spans="1:27" ht="13" x14ac:dyDescent="0.15">
      <c r="A28" s="2"/>
      <c r="C28" s="40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2"/>
      <c r="W28" s="94"/>
      <c r="X28" s="94"/>
      <c r="Y28" s="94"/>
      <c r="Z28" s="93"/>
      <c r="AA28" s="93"/>
    </row>
    <row r="29" spans="1:27" ht="13" x14ac:dyDescent="0.15">
      <c r="A29" s="52" t="s">
        <v>18</v>
      </c>
      <c r="B29" s="2"/>
      <c r="C29" s="40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92"/>
      <c r="W29" s="54"/>
      <c r="X29" s="54"/>
      <c r="Y29" s="54"/>
      <c r="Z29" s="93"/>
      <c r="AA29" s="93"/>
    </row>
    <row r="30" spans="1:27" ht="13" x14ac:dyDescent="0.15">
      <c r="A30" s="41"/>
      <c r="B30" s="2" t="s">
        <v>170</v>
      </c>
      <c r="C30" s="40"/>
      <c r="D30" s="53"/>
      <c r="E30" s="54"/>
      <c r="F30" s="53"/>
      <c r="G30" s="53"/>
      <c r="H30" s="53"/>
      <c r="I30" s="55">
        <f t="shared" ref="I30:I35" si="12">SUM(F30:H30)</f>
        <v>0</v>
      </c>
      <c r="J30" s="53"/>
      <c r="K30" s="53"/>
      <c r="L30" s="53"/>
      <c r="M30" s="55">
        <f t="shared" ref="M30:M35" si="13">SUM(J30:L30)</f>
        <v>0</v>
      </c>
      <c r="N30" s="53"/>
      <c r="O30" s="53"/>
      <c r="P30" s="53"/>
      <c r="Q30" s="55">
        <f t="shared" ref="Q30:Q35" si="14">SUM(N30:P30)</f>
        <v>0</v>
      </c>
      <c r="R30" s="53"/>
      <c r="S30" s="53"/>
      <c r="T30" s="53"/>
      <c r="U30" s="55">
        <f t="shared" ref="U30:U35" si="15">SUM(R30:T30)</f>
        <v>0</v>
      </c>
      <c r="V30" s="92"/>
      <c r="W30" s="48">
        <f t="shared" ref="W30:W34" si="16">SUM(I30,M30,Q30,U30)</f>
        <v>0</v>
      </c>
      <c r="X30" s="55">
        <f>IF('Cover Sheet'!$A$9=References!$A$3,'Annual Budget'!K30,IF('Cover Sheet'!$A$9=References!$A$4,SUM('Annual Budget'!K30,'Annual Budget'!S30),IF('Cover Sheet'!$A$9=References!$A$5,SUM('Annual Budget'!K30,'Annual Budget'!S30,'Annual Budget'!O30),SUM('Annual Budget'!K30,'Annual Budget'!S30,'Annual Budget'!O30,'Annual Budget'!W30))))</f>
        <v>455079</v>
      </c>
      <c r="Y30" s="55">
        <f t="shared" ref="Y30:Y34" si="17">X30-W30</f>
        <v>455079</v>
      </c>
      <c r="Z30" s="93"/>
      <c r="AA30" s="93"/>
    </row>
    <row r="31" spans="1:27" ht="13" x14ac:dyDescent="0.15">
      <c r="A31" s="41"/>
      <c r="B31" s="2" t="s">
        <v>171</v>
      </c>
      <c r="C31" s="40"/>
      <c r="D31" s="53"/>
      <c r="E31" s="54"/>
      <c r="F31" s="53"/>
      <c r="G31" s="53"/>
      <c r="H31" s="53"/>
      <c r="I31" s="55">
        <f t="shared" si="12"/>
        <v>0</v>
      </c>
      <c r="J31" s="53"/>
      <c r="K31" s="53"/>
      <c r="L31" s="53"/>
      <c r="M31" s="55">
        <f t="shared" si="13"/>
        <v>0</v>
      </c>
      <c r="N31" s="53"/>
      <c r="O31" s="53"/>
      <c r="P31" s="53"/>
      <c r="Q31" s="55">
        <f t="shared" si="14"/>
        <v>0</v>
      </c>
      <c r="R31" s="53"/>
      <c r="S31" s="53"/>
      <c r="T31" s="53"/>
      <c r="U31" s="55">
        <f t="shared" si="15"/>
        <v>0</v>
      </c>
      <c r="V31" s="92"/>
      <c r="W31" s="48">
        <f t="shared" si="16"/>
        <v>0</v>
      </c>
      <c r="X31" s="55">
        <f>IF('Cover Sheet'!$A$9=References!$A$3,'Annual Budget'!K31,IF('Cover Sheet'!$A$9=References!$A$4,SUM('Annual Budget'!K31,'Annual Budget'!S31),IF('Cover Sheet'!$A$9=References!$A$5,SUM('Annual Budget'!K31,'Annual Budget'!S31,'Annual Budget'!O31),SUM('Annual Budget'!K31,'Annual Budget'!S31,'Annual Budget'!O31,'Annual Budget'!W31))))</f>
        <v>32820</v>
      </c>
      <c r="Y31" s="55">
        <f t="shared" si="17"/>
        <v>32820</v>
      </c>
      <c r="Z31" s="93"/>
      <c r="AA31" s="93"/>
    </row>
    <row r="32" spans="1:27" ht="13" x14ac:dyDescent="0.15">
      <c r="A32" s="41"/>
      <c r="B32" s="2" t="s">
        <v>19</v>
      </c>
      <c r="C32" s="40"/>
      <c r="D32" s="53"/>
      <c r="E32" s="54"/>
      <c r="F32" s="53"/>
      <c r="G32" s="53"/>
      <c r="H32" s="53"/>
      <c r="I32" s="55">
        <f t="shared" si="12"/>
        <v>0</v>
      </c>
      <c r="J32" s="53"/>
      <c r="K32" s="53"/>
      <c r="L32" s="53"/>
      <c r="M32" s="55">
        <f t="shared" si="13"/>
        <v>0</v>
      </c>
      <c r="N32" s="53"/>
      <c r="O32" s="53"/>
      <c r="P32" s="53"/>
      <c r="Q32" s="55">
        <f t="shared" si="14"/>
        <v>0</v>
      </c>
      <c r="R32" s="53"/>
      <c r="S32" s="53"/>
      <c r="T32" s="53"/>
      <c r="U32" s="55">
        <f t="shared" si="15"/>
        <v>0</v>
      </c>
      <c r="V32" s="92"/>
      <c r="W32" s="48">
        <f t="shared" si="16"/>
        <v>0</v>
      </c>
      <c r="X32" s="55">
        <f>IF('Cover Sheet'!$A$9=References!$A$3,'Annual Budget'!K32,IF('Cover Sheet'!$A$9=References!$A$4,SUM('Annual Budget'!K32,'Annual Budget'!S32),IF('Cover Sheet'!$A$9=References!$A$5,SUM('Annual Budget'!K32,'Annual Budget'!S32,'Annual Budget'!O32),SUM('Annual Budget'!K32,'Annual Budget'!S32,'Annual Budget'!O32,'Annual Budget'!W32))))</f>
        <v>181775</v>
      </c>
      <c r="Y32" s="55">
        <f t="shared" si="17"/>
        <v>181775</v>
      </c>
      <c r="Z32" s="93"/>
      <c r="AA32" s="93"/>
    </row>
    <row r="33" spans="1:29" ht="13" x14ac:dyDescent="0.15">
      <c r="A33" s="41"/>
      <c r="B33" s="41" t="s">
        <v>32</v>
      </c>
      <c r="C33" s="40"/>
      <c r="D33" s="53"/>
      <c r="E33" s="54"/>
      <c r="F33" s="53"/>
      <c r="G33" s="53"/>
      <c r="H33" s="53"/>
      <c r="I33" s="55">
        <f>SUM(F33:H33)</f>
        <v>0</v>
      </c>
      <c r="J33" s="53"/>
      <c r="K33" s="53"/>
      <c r="L33" s="53"/>
      <c r="M33" s="55">
        <f>SUM(J33:L33)</f>
        <v>0</v>
      </c>
      <c r="N33" s="53"/>
      <c r="O33" s="53"/>
      <c r="P33" s="53"/>
      <c r="Q33" s="55">
        <f>SUM(N33:P33)</f>
        <v>0</v>
      </c>
      <c r="R33" s="53"/>
      <c r="S33" s="53"/>
      <c r="T33" s="53"/>
      <c r="U33" s="55">
        <f>SUM(R33:T33)</f>
        <v>0</v>
      </c>
      <c r="V33" s="92"/>
      <c r="W33" s="48">
        <f>SUM(I33,M33,Q33,U33)</f>
        <v>0</v>
      </c>
      <c r="X33" s="55">
        <f>IF('Cover Sheet'!$A$9=References!$A$3,'Annual Budget'!K33,IF('Cover Sheet'!$A$9=References!$A$4,SUM('Annual Budget'!K33,'Annual Budget'!S33),IF('Cover Sheet'!$A$9=References!$A$5,SUM('Annual Budget'!K33,'Annual Budget'!S33,'Annual Budget'!O33),SUM('Annual Budget'!K33,'Annual Budget'!S33,'Annual Budget'!O33,'Annual Budget'!W33))))</f>
        <v>920000</v>
      </c>
      <c r="Y33" s="55">
        <f>X33-W33</f>
        <v>920000</v>
      </c>
      <c r="Z33" s="93"/>
      <c r="AA33" s="93"/>
    </row>
    <row r="34" spans="1:29" ht="13" x14ac:dyDescent="0.15">
      <c r="A34" s="41"/>
      <c r="B34" s="2" t="s">
        <v>172</v>
      </c>
      <c r="C34" s="40"/>
      <c r="D34" s="53"/>
      <c r="E34" s="54"/>
      <c r="F34" s="53"/>
      <c r="G34" s="53"/>
      <c r="H34" s="53"/>
      <c r="I34" s="55">
        <f t="shared" si="12"/>
        <v>0</v>
      </c>
      <c r="J34" s="53"/>
      <c r="K34" s="53"/>
      <c r="L34" s="53"/>
      <c r="M34" s="55">
        <f t="shared" si="13"/>
        <v>0</v>
      </c>
      <c r="N34" s="53"/>
      <c r="O34" s="53"/>
      <c r="P34" s="53"/>
      <c r="Q34" s="55">
        <f t="shared" si="14"/>
        <v>0</v>
      </c>
      <c r="R34" s="53"/>
      <c r="S34" s="53"/>
      <c r="T34" s="53"/>
      <c r="U34" s="55">
        <f t="shared" si="15"/>
        <v>0</v>
      </c>
      <c r="V34" s="92"/>
      <c r="W34" s="48">
        <f t="shared" si="16"/>
        <v>0</v>
      </c>
      <c r="X34" s="55">
        <f>IF('Cover Sheet'!$A$9=References!$A$3,'Annual Budget'!K34,IF('Cover Sheet'!$A$9=References!$A$4,SUM('Annual Budget'!K34,'Annual Budget'!S34),IF('Cover Sheet'!$A$9=References!$A$5,SUM('Annual Budget'!K34,'Annual Budget'!S34,'Annual Budget'!O34),SUM('Annual Budget'!K34,'Annual Budget'!S34,'Annual Budget'!O34,'Annual Budget'!W34))))</f>
        <v>687165</v>
      </c>
      <c r="Y34" s="55">
        <f t="shared" si="17"/>
        <v>687165</v>
      </c>
      <c r="Z34" s="93"/>
      <c r="AA34" s="93"/>
    </row>
    <row r="35" spans="1:29" ht="13" x14ac:dyDescent="0.15">
      <c r="A35" s="2"/>
      <c r="B35" s="49" t="s">
        <v>20</v>
      </c>
      <c r="C35" s="40"/>
      <c r="D35" s="91">
        <f>SUM(D30:D34)</f>
        <v>0</v>
      </c>
      <c r="E35" s="94"/>
      <c r="F35" s="91">
        <f>SUM(F30:F34)</f>
        <v>0</v>
      </c>
      <c r="G35" s="91">
        <f>SUM(G30:G34)</f>
        <v>0</v>
      </c>
      <c r="H35" s="91">
        <f>SUM(H30:H34)</f>
        <v>0</v>
      </c>
      <c r="I35" s="91">
        <f t="shared" si="12"/>
        <v>0</v>
      </c>
      <c r="J35" s="91">
        <f>SUM(J30:J34)</f>
        <v>0</v>
      </c>
      <c r="K35" s="91">
        <f>SUM(K30:K34)</f>
        <v>0</v>
      </c>
      <c r="L35" s="91">
        <f>SUM(L30:L34)</f>
        <v>0</v>
      </c>
      <c r="M35" s="91">
        <f t="shared" si="13"/>
        <v>0</v>
      </c>
      <c r="N35" s="91">
        <f>SUM(N30:N34)</f>
        <v>0</v>
      </c>
      <c r="O35" s="91">
        <f>SUM(O30:O34)</f>
        <v>0</v>
      </c>
      <c r="P35" s="91">
        <f>SUM(P30:P34)</f>
        <v>0</v>
      </c>
      <c r="Q35" s="91">
        <f t="shared" si="14"/>
        <v>0</v>
      </c>
      <c r="R35" s="91">
        <f>SUM(R30:R34)</f>
        <v>0</v>
      </c>
      <c r="S35" s="91">
        <f>SUM(S30:S34)</f>
        <v>0</v>
      </c>
      <c r="T35" s="91">
        <f>SUM(T30:T34)</f>
        <v>0</v>
      </c>
      <c r="U35" s="91">
        <f t="shared" si="15"/>
        <v>0</v>
      </c>
      <c r="V35" s="92"/>
      <c r="W35" s="91">
        <f>SUM(W30:W34)</f>
        <v>0</v>
      </c>
      <c r="X35" s="91">
        <f>SUM(X30:X34)</f>
        <v>2276839</v>
      </c>
      <c r="Y35" s="91">
        <f>X35-W35</f>
        <v>2276839</v>
      </c>
      <c r="Z35" s="93"/>
      <c r="AA35" s="93"/>
    </row>
    <row r="36" spans="1:29" ht="13" x14ac:dyDescent="0.15">
      <c r="A36" s="46"/>
      <c r="B36" s="46"/>
      <c r="C36" s="40"/>
      <c r="D36" s="55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92"/>
      <c r="W36" s="55"/>
      <c r="X36" s="55"/>
      <c r="Y36" s="55"/>
      <c r="Z36" s="93"/>
      <c r="AA36" s="93"/>
    </row>
    <row r="37" spans="1:29" ht="13" x14ac:dyDescent="0.15">
      <c r="A37" s="56" t="s">
        <v>21</v>
      </c>
      <c r="B37" s="41"/>
      <c r="C37" s="40"/>
      <c r="D37" s="55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92"/>
      <c r="W37" s="55"/>
      <c r="X37" s="55"/>
      <c r="Y37" s="55"/>
      <c r="Z37" s="93"/>
      <c r="AA37" s="93"/>
    </row>
    <row r="38" spans="1:29" ht="13" x14ac:dyDescent="0.15">
      <c r="A38" s="41"/>
      <c r="B38" s="41" t="s">
        <v>22</v>
      </c>
      <c r="C38" s="40"/>
      <c r="D38" s="53"/>
      <c r="E38" s="54"/>
      <c r="F38" s="53"/>
      <c r="G38" s="53"/>
      <c r="H38" s="53"/>
      <c r="I38" s="55">
        <f t="shared" ref="I38:I40" si="18">SUM(F38:H38)</f>
        <v>0</v>
      </c>
      <c r="J38" s="53"/>
      <c r="K38" s="53"/>
      <c r="L38" s="53"/>
      <c r="M38" s="55">
        <f t="shared" ref="M38:M44" si="19">SUM(J38:L38)</f>
        <v>0</v>
      </c>
      <c r="N38" s="53"/>
      <c r="O38" s="53"/>
      <c r="P38" s="53"/>
      <c r="Q38" s="55">
        <f t="shared" ref="Q38:Q44" si="20">SUM(N38:P38)</f>
        <v>0</v>
      </c>
      <c r="R38" s="53"/>
      <c r="S38" s="53"/>
      <c r="T38" s="53"/>
      <c r="U38" s="55">
        <f t="shared" ref="U38:U44" si="21">SUM(R38:T38)</f>
        <v>0</v>
      </c>
      <c r="V38" s="92"/>
      <c r="W38" s="48">
        <f t="shared" ref="W38:W43" si="22">SUM(I38,M38,Q38,U38)</f>
        <v>0</v>
      </c>
      <c r="X38" s="55">
        <f>IF('Cover Sheet'!$A$9=References!$A$3,'Annual Budget'!K38,IF('Cover Sheet'!$A$9=References!$A$4,SUM('Annual Budget'!K38,'Annual Budget'!S38),IF('Cover Sheet'!$A$9=References!$A$5,SUM('Annual Budget'!K38,'Annual Budget'!S38,'Annual Budget'!O38),SUM('Annual Budget'!K38,'Annual Budget'!S38,'Annual Budget'!O38,'Annual Budget'!W38))))</f>
        <v>2776942</v>
      </c>
      <c r="Y38" s="55">
        <f t="shared" ref="Y38:Y44" si="23">X38-W38</f>
        <v>2776942</v>
      </c>
      <c r="Z38" s="93"/>
      <c r="AA38" s="93"/>
    </row>
    <row r="39" spans="1:29" ht="13" x14ac:dyDescent="0.15">
      <c r="A39" s="41"/>
      <c r="B39" s="41" t="s">
        <v>156</v>
      </c>
      <c r="C39" s="40"/>
      <c r="D39" s="80"/>
      <c r="E39" s="54"/>
      <c r="F39" s="80"/>
      <c r="G39" s="80"/>
      <c r="H39" s="80"/>
      <c r="I39" s="55">
        <f t="shared" si="18"/>
        <v>0</v>
      </c>
      <c r="J39" s="80"/>
      <c r="K39" s="80"/>
      <c r="L39" s="80"/>
      <c r="M39" s="55">
        <f t="shared" si="19"/>
        <v>0</v>
      </c>
      <c r="N39" s="80"/>
      <c r="O39" s="80"/>
      <c r="P39" s="80"/>
      <c r="Q39" s="55">
        <f t="shared" si="20"/>
        <v>0</v>
      </c>
      <c r="R39" s="80"/>
      <c r="S39" s="80"/>
      <c r="T39" s="80"/>
      <c r="U39" s="55">
        <f t="shared" si="21"/>
        <v>0</v>
      </c>
      <c r="V39" s="92"/>
      <c r="W39" s="48">
        <f t="shared" si="22"/>
        <v>0</v>
      </c>
      <c r="X39" s="55">
        <f>IF('Cover Sheet'!$A$9=References!$A$3,'Annual Budget'!K39,IF('Cover Sheet'!$A$9=References!$A$4,SUM('Annual Budget'!K39,'Annual Budget'!S39),IF('Cover Sheet'!$A$9=References!$A$5,SUM('Annual Budget'!K39,'Annual Budget'!S39,'Annual Budget'!O39),SUM('Annual Budget'!K39,'Annual Budget'!S39,'Annual Budget'!O39,'Annual Budget'!W39))))</f>
        <v>519905</v>
      </c>
      <c r="Y39" s="55">
        <f t="shared" si="23"/>
        <v>519905</v>
      </c>
      <c r="Z39" s="93"/>
      <c r="AA39" s="93"/>
      <c r="AC39" s="51" t="s">
        <v>179</v>
      </c>
    </row>
    <row r="40" spans="1:29" ht="13" x14ac:dyDescent="0.15">
      <c r="A40" s="41"/>
      <c r="B40" s="41" t="s">
        <v>157</v>
      </c>
      <c r="C40" s="40"/>
      <c r="D40" s="80"/>
      <c r="E40" s="54"/>
      <c r="F40" s="80"/>
      <c r="G40" s="80"/>
      <c r="H40" s="80"/>
      <c r="I40" s="55">
        <f t="shared" si="18"/>
        <v>0</v>
      </c>
      <c r="J40" s="80"/>
      <c r="K40" s="80"/>
      <c r="L40" s="80"/>
      <c r="M40" s="55">
        <f t="shared" si="19"/>
        <v>0</v>
      </c>
      <c r="N40" s="80"/>
      <c r="O40" s="80"/>
      <c r="P40" s="80"/>
      <c r="Q40" s="55">
        <f t="shared" si="20"/>
        <v>0</v>
      </c>
      <c r="R40" s="80"/>
      <c r="S40" s="80"/>
      <c r="T40" s="80"/>
      <c r="U40" s="55">
        <f t="shared" si="21"/>
        <v>0</v>
      </c>
      <c r="V40" s="92"/>
      <c r="W40" s="48">
        <f t="shared" si="22"/>
        <v>0</v>
      </c>
      <c r="X40" s="55">
        <f>IF('Cover Sheet'!$A$9=References!$A$3,'Annual Budget'!K40,IF('Cover Sheet'!$A$9=References!$A$4,SUM('Annual Budget'!K40,'Annual Budget'!S40),IF('Cover Sheet'!$A$9=References!$A$5,SUM('Annual Budget'!K40,'Annual Budget'!S40,'Annual Budget'!O40),SUM('Annual Budget'!K40,'Annual Budget'!S40,'Annual Budget'!O40,'Annual Budget'!W40))))</f>
        <v>0</v>
      </c>
      <c r="Y40" s="55">
        <f t="shared" si="23"/>
        <v>0</v>
      </c>
      <c r="Z40" s="93"/>
      <c r="AA40" s="93"/>
      <c r="AC40" s="51" t="s">
        <v>180</v>
      </c>
    </row>
    <row r="41" spans="1:29" ht="13" x14ac:dyDescent="0.15">
      <c r="A41" s="41"/>
      <c r="B41" s="41" t="s">
        <v>23</v>
      </c>
      <c r="C41" s="40"/>
      <c r="D41" s="53"/>
      <c r="E41" s="54"/>
      <c r="F41" s="53"/>
      <c r="G41" s="53"/>
      <c r="H41" s="53"/>
      <c r="I41" s="55">
        <f t="shared" ref="I41:I44" si="24">SUM(F41:H41)</f>
        <v>0</v>
      </c>
      <c r="J41" s="53"/>
      <c r="K41" s="53"/>
      <c r="L41" s="53"/>
      <c r="M41" s="55">
        <f t="shared" si="19"/>
        <v>0</v>
      </c>
      <c r="N41" s="53"/>
      <c r="O41" s="53"/>
      <c r="P41" s="53"/>
      <c r="Q41" s="55">
        <f t="shared" si="20"/>
        <v>0</v>
      </c>
      <c r="R41" s="53"/>
      <c r="S41" s="53"/>
      <c r="T41" s="53"/>
      <c r="U41" s="55">
        <f t="shared" si="21"/>
        <v>0</v>
      </c>
      <c r="V41" s="92"/>
      <c r="W41" s="48">
        <f t="shared" si="22"/>
        <v>0</v>
      </c>
      <c r="X41" s="55">
        <f>IF('Cover Sheet'!$A$9=References!$A$3,'Annual Budget'!K41,IF('Cover Sheet'!$A$9=References!$A$4,SUM('Annual Budget'!K41,'Annual Budget'!S41),IF('Cover Sheet'!$A$9=References!$A$5,SUM('Annual Budget'!K41,'Annual Budget'!S41,'Annual Budget'!O41),SUM('Annual Budget'!K41,'Annual Budget'!S41,'Annual Budget'!O41,'Annual Budget'!W41))))</f>
        <v>253637</v>
      </c>
      <c r="Y41" s="55">
        <f t="shared" si="23"/>
        <v>253637</v>
      </c>
      <c r="Z41" s="93"/>
      <c r="AA41" s="93"/>
    </row>
    <row r="42" spans="1:29" ht="13" x14ac:dyDescent="0.15">
      <c r="A42" s="41"/>
      <c r="B42" s="41" t="s">
        <v>24</v>
      </c>
      <c r="C42" s="40"/>
      <c r="D42" s="53"/>
      <c r="E42" s="54"/>
      <c r="F42" s="53"/>
      <c r="G42" s="53"/>
      <c r="H42" s="53"/>
      <c r="I42" s="55">
        <f t="shared" si="24"/>
        <v>0</v>
      </c>
      <c r="J42" s="53"/>
      <c r="K42" s="53"/>
      <c r="L42" s="53"/>
      <c r="M42" s="55">
        <f t="shared" si="19"/>
        <v>0</v>
      </c>
      <c r="N42" s="53"/>
      <c r="O42" s="53"/>
      <c r="P42" s="53"/>
      <c r="Q42" s="55">
        <f t="shared" si="20"/>
        <v>0</v>
      </c>
      <c r="R42" s="53"/>
      <c r="S42" s="53"/>
      <c r="T42" s="53"/>
      <c r="U42" s="55">
        <f t="shared" si="21"/>
        <v>0</v>
      </c>
      <c r="V42" s="92"/>
      <c r="W42" s="48">
        <f t="shared" si="22"/>
        <v>0</v>
      </c>
      <c r="X42" s="55">
        <f>IF('Cover Sheet'!$A$9=References!$A$3,'Annual Budget'!K42,IF('Cover Sheet'!$A$9=References!$A$4,SUM('Annual Budget'!K42,'Annual Budget'!S42),IF('Cover Sheet'!$A$9=References!$A$5,SUM('Annual Budget'!K42,'Annual Budget'!S42,'Annual Budget'!O42),SUM('Annual Budget'!K42,'Annual Budget'!S42,'Annual Budget'!O42,'Annual Budget'!W42))))</f>
        <v>739417</v>
      </c>
      <c r="Y42" s="55">
        <f t="shared" si="23"/>
        <v>739417</v>
      </c>
      <c r="Z42" s="93"/>
      <c r="AA42" s="93"/>
    </row>
    <row r="43" spans="1:29" ht="13" x14ac:dyDescent="0.15">
      <c r="A43" s="41"/>
      <c r="B43" s="41" t="s">
        <v>158</v>
      </c>
      <c r="C43" s="40"/>
      <c r="D43" s="53"/>
      <c r="E43" s="54"/>
      <c r="F43" s="53"/>
      <c r="G43" s="53"/>
      <c r="H43" s="53"/>
      <c r="I43" s="55">
        <f t="shared" si="24"/>
        <v>0</v>
      </c>
      <c r="J43" s="53"/>
      <c r="K43" s="53"/>
      <c r="L43" s="53"/>
      <c r="M43" s="55">
        <f t="shared" si="19"/>
        <v>0</v>
      </c>
      <c r="N43" s="53"/>
      <c r="O43" s="53"/>
      <c r="P43" s="53"/>
      <c r="Q43" s="55">
        <f t="shared" si="20"/>
        <v>0</v>
      </c>
      <c r="R43" s="53"/>
      <c r="S43" s="53"/>
      <c r="T43" s="53"/>
      <c r="U43" s="55">
        <f t="shared" si="21"/>
        <v>0</v>
      </c>
      <c r="V43" s="92"/>
      <c r="W43" s="48">
        <f t="shared" si="22"/>
        <v>0</v>
      </c>
      <c r="X43" s="55">
        <f>IF('Cover Sheet'!$A$9=References!$A$3,'Annual Budget'!K43,IF('Cover Sheet'!$A$9=References!$A$4,SUM('Annual Budget'!K43,'Annual Budget'!S43),IF('Cover Sheet'!$A$9=References!$A$5,SUM('Annual Budget'!K43,'Annual Budget'!S43,'Annual Budget'!O43),SUM('Annual Budget'!K43,'Annual Budget'!S43,'Annual Budget'!O43,'Annual Budget'!W43))))</f>
        <v>567379</v>
      </c>
      <c r="Y43" s="55">
        <f t="shared" si="23"/>
        <v>567379</v>
      </c>
      <c r="Z43" s="93"/>
      <c r="AA43" s="93"/>
    </row>
    <row r="44" spans="1:29" ht="13" x14ac:dyDescent="0.15">
      <c r="A44" s="41"/>
      <c r="B44" s="49" t="s">
        <v>25</v>
      </c>
      <c r="C44" s="40"/>
      <c r="D44" s="91">
        <f>SUM(D38:D43)</f>
        <v>0</v>
      </c>
      <c r="E44" s="94"/>
      <c r="F44" s="91">
        <f>SUM(F38:F43)</f>
        <v>0</v>
      </c>
      <c r="G44" s="91">
        <f>SUM(G38:G43)</f>
        <v>0</v>
      </c>
      <c r="H44" s="91">
        <f>SUM(H38:H43)</f>
        <v>0</v>
      </c>
      <c r="I44" s="91">
        <f t="shared" si="24"/>
        <v>0</v>
      </c>
      <c r="J44" s="91">
        <f>SUM(J38:J43)</f>
        <v>0</v>
      </c>
      <c r="K44" s="91">
        <f>SUM(K38:K43)</f>
        <v>0</v>
      </c>
      <c r="L44" s="91">
        <f>SUM(L38:L43)</f>
        <v>0</v>
      </c>
      <c r="M44" s="91">
        <f t="shared" si="19"/>
        <v>0</v>
      </c>
      <c r="N44" s="91">
        <f>SUM(N38:N43)</f>
        <v>0</v>
      </c>
      <c r="O44" s="91">
        <f>SUM(O38:O43)</f>
        <v>0</v>
      </c>
      <c r="P44" s="91">
        <f>SUM(P38:P43)</f>
        <v>0</v>
      </c>
      <c r="Q44" s="91">
        <f t="shared" si="20"/>
        <v>0</v>
      </c>
      <c r="R44" s="91">
        <f>SUM(R38:R43)</f>
        <v>0</v>
      </c>
      <c r="S44" s="91">
        <f>SUM(S38:S43)</f>
        <v>0</v>
      </c>
      <c r="T44" s="91">
        <f>SUM(T38:T43)</f>
        <v>0</v>
      </c>
      <c r="U44" s="91">
        <f t="shared" si="21"/>
        <v>0</v>
      </c>
      <c r="V44" s="92"/>
      <c r="W44" s="91">
        <f>SUM(W38:W43)</f>
        <v>0</v>
      </c>
      <c r="X44" s="91">
        <f>SUM(X38:X43)</f>
        <v>4857280</v>
      </c>
      <c r="Y44" s="91">
        <f t="shared" si="23"/>
        <v>4857280</v>
      </c>
      <c r="Z44" s="93"/>
      <c r="AA44" s="93"/>
    </row>
    <row r="45" spans="1:29" ht="13" x14ac:dyDescent="0.15">
      <c r="A45" s="41"/>
      <c r="B45" s="46"/>
      <c r="C45" s="40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2"/>
      <c r="W45" s="94"/>
      <c r="X45" s="94"/>
      <c r="Y45" s="94"/>
      <c r="Z45" s="93"/>
      <c r="AA45" s="93"/>
    </row>
    <row r="46" spans="1:29" ht="13" x14ac:dyDescent="0.15">
      <c r="A46" s="56" t="s">
        <v>160</v>
      </c>
      <c r="B46" s="41"/>
      <c r="C46" s="40"/>
      <c r="D46" s="55"/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92"/>
      <c r="W46" s="55"/>
      <c r="X46" s="55"/>
      <c r="Y46" s="55"/>
      <c r="Z46" s="93"/>
      <c r="AA46" s="93"/>
    </row>
    <row r="47" spans="1:29" ht="13" x14ac:dyDescent="0.15">
      <c r="A47" s="41"/>
      <c r="B47" s="41" t="s">
        <v>26</v>
      </c>
      <c r="C47" s="40"/>
      <c r="D47" s="53"/>
      <c r="E47" s="54"/>
      <c r="F47" s="53"/>
      <c r="G47" s="53"/>
      <c r="H47" s="53"/>
      <c r="I47" s="55">
        <f t="shared" ref="I47" si="25">SUM(F47:H47)</f>
        <v>0</v>
      </c>
      <c r="J47" s="53"/>
      <c r="K47" s="53"/>
      <c r="L47" s="53"/>
      <c r="M47" s="55">
        <f t="shared" ref="M47:M59" si="26">SUM(J47:L47)</f>
        <v>0</v>
      </c>
      <c r="N47" s="53"/>
      <c r="O47" s="53"/>
      <c r="P47" s="53"/>
      <c r="Q47" s="55">
        <f t="shared" ref="Q47:Q59" si="27">SUM(N47:P47)</f>
        <v>0</v>
      </c>
      <c r="R47" s="53"/>
      <c r="S47" s="53"/>
      <c r="T47" s="53"/>
      <c r="U47" s="55">
        <f t="shared" ref="U47:U59" si="28">SUM(R47:T47)</f>
        <v>0</v>
      </c>
      <c r="V47" s="92"/>
      <c r="W47" s="48">
        <f t="shared" ref="W47:W58" si="29">SUM(I47,M47,Q47,U47)</f>
        <v>0</v>
      </c>
      <c r="X47" s="55">
        <f>IF('Cover Sheet'!$A$9=References!$A$3,'Annual Budget'!K47,IF('Cover Sheet'!$A$9=References!$A$4,SUM('Annual Budget'!K47,'Annual Budget'!S47),IF('Cover Sheet'!$A$9=References!$A$5,SUM('Annual Budget'!K47,'Annual Budget'!S47,'Annual Budget'!O47),SUM('Annual Budget'!K47,'Annual Budget'!S47,'Annual Budget'!O47,'Annual Budget'!W47))))</f>
        <v>42811</v>
      </c>
      <c r="Y47" s="55">
        <f t="shared" ref="Y47:Y59" si="30">X47-W47</f>
        <v>42811</v>
      </c>
      <c r="Z47" s="93"/>
      <c r="AA47" s="93"/>
    </row>
    <row r="48" spans="1:29" ht="13" x14ac:dyDescent="0.15">
      <c r="A48" s="41"/>
      <c r="B48" s="41" t="s">
        <v>27</v>
      </c>
      <c r="C48" s="40"/>
      <c r="D48" s="53"/>
      <c r="E48" s="54"/>
      <c r="F48" s="53"/>
      <c r="G48" s="53"/>
      <c r="H48" s="53"/>
      <c r="I48" s="55">
        <f t="shared" ref="I48:I59" si="31">SUM(F48:H48)</f>
        <v>0</v>
      </c>
      <c r="J48" s="53"/>
      <c r="K48" s="53"/>
      <c r="L48" s="53"/>
      <c r="M48" s="55">
        <f t="shared" si="26"/>
        <v>0</v>
      </c>
      <c r="N48" s="53"/>
      <c r="O48" s="53"/>
      <c r="P48" s="53"/>
      <c r="Q48" s="55">
        <f t="shared" si="27"/>
        <v>0</v>
      </c>
      <c r="R48" s="53"/>
      <c r="S48" s="53"/>
      <c r="T48" s="53"/>
      <c r="U48" s="55">
        <f t="shared" si="28"/>
        <v>0</v>
      </c>
      <c r="V48" s="92"/>
      <c r="W48" s="48">
        <f t="shared" si="29"/>
        <v>0</v>
      </c>
      <c r="X48" s="55">
        <f>IF('Cover Sheet'!$A$9=References!$A$3,'Annual Budget'!K48,IF('Cover Sheet'!$A$9=References!$A$4,SUM('Annual Budget'!K48,'Annual Budget'!S48),IF('Cover Sheet'!$A$9=References!$A$5,SUM('Annual Budget'!K48,'Annual Budget'!S48,'Annual Budget'!O48),SUM('Annual Budget'!K48,'Annual Budget'!S48,'Annual Budget'!O48,'Annual Budget'!W48))))</f>
        <v>109805</v>
      </c>
      <c r="Y48" s="55">
        <f t="shared" si="30"/>
        <v>109805</v>
      </c>
      <c r="Z48" s="93"/>
      <c r="AA48" s="93"/>
    </row>
    <row r="49" spans="1:29" ht="13" x14ac:dyDescent="0.15">
      <c r="A49" s="41"/>
      <c r="B49" s="41" t="s">
        <v>28</v>
      </c>
      <c r="C49" s="40"/>
      <c r="D49" s="53"/>
      <c r="E49" s="54"/>
      <c r="F49" s="53"/>
      <c r="G49" s="53"/>
      <c r="H49" s="53"/>
      <c r="I49" s="55">
        <f t="shared" si="31"/>
        <v>0</v>
      </c>
      <c r="J49" s="53"/>
      <c r="K49" s="53"/>
      <c r="L49" s="53"/>
      <c r="M49" s="55">
        <f t="shared" si="26"/>
        <v>0</v>
      </c>
      <c r="N49" s="53"/>
      <c r="O49" s="53"/>
      <c r="P49" s="53"/>
      <c r="Q49" s="55">
        <f t="shared" si="27"/>
        <v>0</v>
      </c>
      <c r="R49" s="53"/>
      <c r="S49" s="53"/>
      <c r="T49" s="53"/>
      <c r="U49" s="55">
        <f t="shared" si="28"/>
        <v>0</v>
      </c>
      <c r="V49" s="92"/>
      <c r="W49" s="48">
        <f t="shared" si="29"/>
        <v>0</v>
      </c>
      <c r="X49" s="55">
        <f>IF('Cover Sheet'!$A$9=References!$A$3,'Annual Budget'!K49,IF('Cover Sheet'!$A$9=References!$A$4,SUM('Annual Budget'!K49,'Annual Budget'!S49),IF('Cover Sheet'!$A$9=References!$A$5,SUM('Annual Budget'!K49,'Annual Budget'!S49,'Annual Budget'!O49),SUM('Annual Budget'!K49,'Annual Budget'!S49,'Annual Budget'!O49,'Annual Budget'!W49))))</f>
        <v>120082</v>
      </c>
      <c r="Y49" s="55">
        <f t="shared" si="30"/>
        <v>120082</v>
      </c>
      <c r="Z49" s="93"/>
      <c r="AA49" s="93"/>
    </row>
    <row r="50" spans="1:29" ht="13" x14ac:dyDescent="0.15">
      <c r="A50" s="41"/>
      <c r="B50" s="41" t="s">
        <v>29</v>
      </c>
      <c r="C50" s="40"/>
      <c r="D50" s="53"/>
      <c r="E50" s="54"/>
      <c r="F50" s="53"/>
      <c r="G50" s="53"/>
      <c r="H50" s="53"/>
      <c r="I50" s="55">
        <f t="shared" si="31"/>
        <v>0</v>
      </c>
      <c r="J50" s="53"/>
      <c r="K50" s="53"/>
      <c r="L50" s="53"/>
      <c r="M50" s="55">
        <f t="shared" si="26"/>
        <v>0</v>
      </c>
      <c r="N50" s="53"/>
      <c r="O50" s="53"/>
      <c r="P50" s="53"/>
      <c r="Q50" s="55">
        <f t="shared" si="27"/>
        <v>0</v>
      </c>
      <c r="R50" s="53"/>
      <c r="S50" s="53"/>
      <c r="T50" s="53"/>
      <c r="U50" s="55">
        <f t="shared" si="28"/>
        <v>0</v>
      </c>
      <c r="V50" s="92"/>
      <c r="W50" s="48">
        <f t="shared" si="29"/>
        <v>0</v>
      </c>
      <c r="X50" s="55">
        <f>IF('Cover Sheet'!$A$9=References!$A$3,'Annual Budget'!K50,IF('Cover Sheet'!$A$9=References!$A$4,SUM('Annual Budget'!K50,'Annual Budget'!S50),IF('Cover Sheet'!$A$9=References!$A$5,SUM('Annual Budget'!K50,'Annual Budget'!S50,'Annual Budget'!O50),SUM('Annual Budget'!K50,'Annual Budget'!S50,'Annual Budget'!O50,'Annual Budget'!W50))))</f>
        <v>249940</v>
      </c>
      <c r="Y50" s="55">
        <f t="shared" si="30"/>
        <v>249940</v>
      </c>
      <c r="Z50" s="93"/>
      <c r="AA50" s="93"/>
    </row>
    <row r="51" spans="1:29" ht="13" x14ac:dyDescent="0.15">
      <c r="A51" s="41"/>
      <c r="B51" s="41" t="s">
        <v>30</v>
      </c>
      <c r="C51" s="40"/>
      <c r="D51" s="53"/>
      <c r="E51" s="54"/>
      <c r="F51" s="53"/>
      <c r="G51" s="53"/>
      <c r="H51" s="53"/>
      <c r="I51" s="55">
        <f t="shared" si="31"/>
        <v>0</v>
      </c>
      <c r="J51" s="53"/>
      <c r="K51" s="53"/>
      <c r="L51" s="53"/>
      <c r="M51" s="55">
        <f t="shared" si="26"/>
        <v>0</v>
      </c>
      <c r="N51" s="53"/>
      <c r="O51" s="53"/>
      <c r="P51" s="53"/>
      <c r="Q51" s="55">
        <f t="shared" si="27"/>
        <v>0</v>
      </c>
      <c r="R51" s="53"/>
      <c r="S51" s="53"/>
      <c r="T51" s="53"/>
      <c r="U51" s="55">
        <f t="shared" si="28"/>
        <v>0</v>
      </c>
      <c r="V51" s="92"/>
      <c r="W51" s="48">
        <f t="shared" si="29"/>
        <v>0</v>
      </c>
      <c r="X51" s="55">
        <f>IF('Cover Sheet'!$A$9=References!$A$3,'Annual Budget'!K51,IF('Cover Sheet'!$A$9=References!$A$4,SUM('Annual Budget'!K51,'Annual Budget'!S51),IF('Cover Sheet'!$A$9=References!$A$5,SUM('Annual Budget'!K51,'Annual Budget'!S51,'Annual Budget'!O51),SUM('Annual Budget'!K51,'Annual Budget'!S51,'Annual Budget'!O51,'Annual Budget'!W51))))</f>
        <v>84643</v>
      </c>
      <c r="Y51" s="55">
        <f t="shared" si="30"/>
        <v>84643</v>
      </c>
      <c r="Z51" s="93"/>
      <c r="AA51" s="93"/>
    </row>
    <row r="52" spans="1:29" ht="13" x14ac:dyDescent="0.15">
      <c r="A52" s="41"/>
      <c r="B52" s="41" t="s">
        <v>31</v>
      </c>
      <c r="C52" s="40"/>
      <c r="D52" s="53"/>
      <c r="E52" s="54"/>
      <c r="F52" s="53"/>
      <c r="G52" s="53"/>
      <c r="H52" s="53"/>
      <c r="I52" s="55">
        <f t="shared" si="31"/>
        <v>0</v>
      </c>
      <c r="J52" s="53"/>
      <c r="K52" s="53"/>
      <c r="L52" s="53"/>
      <c r="M52" s="55">
        <f t="shared" si="26"/>
        <v>0</v>
      </c>
      <c r="N52" s="53"/>
      <c r="O52" s="53"/>
      <c r="P52" s="53"/>
      <c r="Q52" s="55">
        <f t="shared" si="27"/>
        <v>0</v>
      </c>
      <c r="R52" s="53"/>
      <c r="S52" s="53"/>
      <c r="T52" s="53"/>
      <c r="U52" s="55">
        <f t="shared" si="28"/>
        <v>0</v>
      </c>
      <c r="V52" s="92"/>
      <c r="W52" s="48">
        <f t="shared" si="29"/>
        <v>0</v>
      </c>
      <c r="X52" s="55">
        <f>IF('Cover Sheet'!$A$9=References!$A$3,'Annual Budget'!K52,IF('Cover Sheet'!$A$9=References!$A$4,SUM('Annual Budget'!K52,'Annual Budget'!S52),IF('Cover Sheet'!$A$9=References!$A$5,SUM('Annual Budget'!K52,'Annual Budget'!S52,'Annual Budget'!O52),SUM('Annual Budget'!K52,'Annual Budget'!S52,'Annual Budget'!O52,'Annual Budget'!W52))))</f>
        <v>0</v>
      </c>
      <c r="Y52" s="55">
        <f t="shared" si="30"/>
        <v>0</v>
      </c>
      <c r="Z52" s="93"/>
      <c r="AA52" s="93"/>
    </row>
    <row r="53" spans="1:29" ht="13" x14ac:dyDescent="0.15">
      <c r="A53" s="41"/>
      <c r="B53" s="41" t="s">
        <v>161</v>
      </c>
      <c r="C53" s="40"/>
      <c r="D53" s="80"/>
      <c r="E53" s="54"/>
      <c r="F53" s="80"/>
      <c r="G53" s="80"/>
      <c r="H53" s="80"/>
      <c r="I53" s="55">
        <f t="shared" si="31"/>
        <v>0</v>
      </c>
      <c r="J53" s="80"/>
      <c r="K53" s="80"/>
      <c r="L53" s="80"/>
      <c r="M53" s="55">
        <f t="shared" si="26"/>
        <v>0</v>
      </c>
      <c r="N53" s="80"/>
      <c r="O53" s="80"/>
      <c r="P53" s="80"/>
      <c r="Q53" s="55">
        <f t="shared" si="27"/>
        <v>0</v>
      </c>
      <c r="R53" s="80"/>
      <c r="S53" s="80"/>
      <c r="T53" s="80"/>
      <c r="U53" s="55">
        <f t="shared" si="28"/>
        <v>0</v>
      </c>
      <c r="V53" s="92"/>
      <c r="W53" s="48">
        <f t="shared" si="29"/>
        <v>0</v>
      </c>
      <c r="X53" s="55">
        <f>IF('Cover Sheet'!$A$9=References!$A$3,'Annual Budget'!K53,IF('Cover Sheet'!$A$9=References!$A$4,SUM('Annual Budget'!K53,'Annual Budget'!S53),IF('Cover Sheet'!$A$9=References!$A$5,SUM('Annual Budget'!K53,'Annual Budget'!S53,'Annual Budget'!O53),SUM('Annual Budget'!K53,'Annual Budget'!S53,'Annual Budget'!O53,'Annual Budget'!W53))))</f>
        <v>417810</v>
      </c>
      <c r="Y53" s="55">
        <f t="shared" si="30"/>
        <v>417810</v>
      </c>
      <c r="Z53" s="93"/>
      <c r="AA53" s="93"/>
    </row>
    <row r="54" spans="1:29" ht="13" x14ac:dyDescent="0.15">
      <c r="A54" s="41"/>
      <c r="B54" s="41" t="s">
        <v>162</v>
      </c>
      <c r="C54" s="40"/>
      <c r="D54" s="80"/>
      <c r="E54" s="54"/>
      <c r="F54" s="80"/>
      <c r="G54" s="80"/>
      <c r="H54" s="80"/>
      <c r="I54" s="55">
        <f t="shared" si="31"/>
        <v>0</v>
      </c>
      <c r="J54" s="80"/>
      <c r="K54" s="80"/>
      <c r="L54" s="80"/>
      <c r="M54" s="55">
        <f t="shared" si="26"/>
        <v>0</v>
      </c>
      <c r="N54" s="80"/>
      <c r="O54" s="80"/>
      <c r="P54" s="80"/>
      <c r="Q54" s="55">
        <f t="shared" si="27"/>
        <v>0</v>
      </c>
      <c r="R54" s="80"/>
      <c r="S54" s="80"/>
      <c r="T54" s="80"/>
      <c r="U54" s="55">
        <f t="shared" si="28"/>
        <v>0</v>
      </c>
      <c r="V54" s="92"/>
      <c r="W54" s="48">
        <f t="shared" si="29"/>
        <v>0</v>
      </c>
      <c r="X54" s="55">
        <f>IF('Cover Sheet'!$A$9=References!$A$3,'Annual Budget'!K54,IF('Cover Sheet'!$A$9=References!$A$4,SUM('Annual Budget'!K54,'Annual Budget'!S54),IF('Cover Sheet'!$A$9=References!$A$5,SUM('Annual Budget'!K54,'Annual Budget'!S54,'Annual Budget'!O54),SUM('Annual Budget'!K54,'Annual Budget'!S54,'Annual Budget'!O54,'Annual Budget'!W54))))</f>
        <v>268432</v>
      </c>
      <c r="Y54" s="55">
        <f t="shared" si="30"/>
        <v>268432</v>
      </c>
      <c r="Z54" s="93"/>
      <c r="AA54" s="93"/>
    </row>
    <row r="55" spans="1:29" ht="13" x14ac:dyDescent="0.15">
      <c r="A55" s="41"/>
      <c r="B55" s="41" t="s">
        <v>33</v>
      </c>
      <c r="C55" s="40"/>
      <c r="D55" s="80"/>
      <c r="E55" s="54"/>
      <c r="F55" s="80"/>
      <c r="G55" s="80"/>
      <c r="H55" s="80"/>
      <c r="I55" s="55">
        <f t="shared" si="31"/>
        <v>0</v>
      </c>
      <c r="J55" s="80"/>
      <c r="K55" s="80"/>
      <c r="L55" s="80"/>
      <c r="M55" s="55">
        <f t="shared" si="26"/>
        <v>0</v>
      </c>
      <c r="N55" s="80"/>
      <c r="O55" s="80"/>
      <c r="P55" s="80"/>
      <c r="Q55" s="55">
        <f t="shared" si="27"/>
        <v>0</v>
      </c>
      <c r="R55" s="80"/>
      <c r="S55" s="80"/>
      <c r="T55" s="80"/>
      <c r="U55" s="55">
        <f t="shared" si="28"/>
        <v>0</v>
      </c>
      <c r="V55" s="92"/>
      <c r="W55" s="48">
        <f t="shared" si="29"/>
        <v>0</v>
      </c>
      <c r="X55" s="55">
        <f>IF('Cover Sheet'!$A$9=References!$A$3,'Annual Budget'!K55,IF('Cover Sheet'!$A$9=References!$A$4,SUM('Annual Budget'!K55,'Annual Budget'!S55),IF('Cover Sheet'!$A$9=References!$A$5,SUM('Annual Budget'!K55,'Annual Budget'!S55,'Annual Budget'!O55),SUM('Annual Budget'!K55,'Annual Budget'!S55,'Annual Budget'!O55,'Annual Budget'!W55))))</f>
        <v>0</v>
      </c>
      <c r="Y55" s="55">
        <f t="shared" si="30"/>
        <v>0</v>
      </c>
      <c r="Z55" s="93"/>
      <c r="AA55" s="93"/>
    </row>
    <row r="56" spans="1:29" ht="13" x14ac:dyDescent="0.15">
      <c r="A56" s="41"/>
      <c r="B56" s="41" t="s">
        <v>163</v>
      </c>
      <c r="C56" s="40"/>
      <c r="D56" s="80"/>
      <c r="E56" s="54"/>
      <c r="F56" s="80"/>
      <c r="G56" s="80"/>
      <c r="H56" s="80"/>
      <c r="I56" s="55">
        <f t="shared" si="31"/>
        <v>0</v>
      </c>
      <c r="J56" s="80"/>
      <c r="K56" s="80"/>
      <c r="L56" s="80"/>
      <c r="M56" s="55">
        <f t="shared" si="26"/>
        <v>0</v>
      </c>
      <c r="N56" s="80"/>
      <c r="O56" s="80"/>
      <c r="P56" s="80"/>
      <c r="Q56" s="55">
        <f t="shared" si="27"/>
        <v>0</v>
      </c>
      <c r="R56" s="80"/>
      <c r="S56" s="80"/>
      <c r="T56" s="80"/>
      <c r="U56" s="55">
        <f t="shared" si="28"/>
        <v>0</v>
      </c>
      <c r="V56" s="92"/>
      <c r="W56" s="48">
        <f t="shared" si="29"/>
        <v>0</v>
      </c>
      <c r="X56" s="55">
        <f>IF('Cover Sheet'!$A$9=References!$A$3,'Annual Budget'!K56,IF('Cover Sheet'!$A$9=References!$A$4,SUM('Annual Budget'!K56,'Annual Budget'!S56),IF('Cover Sheet'!$A$9=References!$A$5,SUM('Annual Budget'!K56,'Annual Budget'!S56,'Annual Budget'!O56),SUM('Annual Budget'!K56,'Annual Budget'!S56,'Annual Budget'!O56,'Annual Budget'!W56))))</f>
        <v>0</v>
      </c>
      <c r="Y56" s="55">
        <f t="shared" si="30"/>
        <v>0</v>
      </c>
      <c r="Z56" s="93"/>
      <c r="AA56" s="93"/>
      <c r="AC56" s="51" t="s">
        <v>181</v>
      </c>
    </row>
    <row r="57" spans="1:29" ht="13" x14ac:dyDescent="0.15">
      <c r="A57" s="41"/>
      <c r="B57" s="41" t="s">
        <v>164</v>
      </c>
      <c r="C57" s="40"/>
      <c r="D57" s="80"/>
      <c r="E57" s="54"/>
      <c r="F57" s="80"/>
      <c r="G57" s="80"/>
      <c r="H57" s="80"/>
      <c r="I57" s="55">
        <f t="shared" si="31"/>
        <v>0</v>
      </c>
      <c r="J57" s="80"/>
      <c r="K57" s="80"/>
      <c r="L57" s="80"/>
      <c r="M57" s="55">
        <f t="shared" si="26"/>
        <v>0</v>
      </c>
      <c r="N57" s="80"/>
      <c r="O57" s="80"/>
      <c r="P57" s="80"/>
      <c r="Q57" s="55">
        <f t="shared" si="27"/>
        <v>0</v>
      </c>
      <c r="R57" s="80"/>
      <c r="S57" s="80"/>
      <c r="T57" s="80"/>
      <c r="U57" s="55">
        <f t="shared" si="28"/>
        <v>0</v>
      </c>
      <c r="V57" s="92"/>
      <c r="W57" s="48">
        <f t="shared" si="29"/>
        <v>0</v>
      </c>
      <c r="X57" s="55">
        <f>IF('Cover Sheet'!$A$9=References!$A$3,'Annual Budget'!K57,IF('Cover Sheet'!$A$9=References!$A$4,SUM('Annual Budget'!K57,'Annual Budget'!S57),IF('Cover Sheet'!$A$9=References!$A$5,SUM('Annual Budget'!K57,'Annual Budget'!S57,'Annual Budget'!O57),SUM('Annual Budget'!K57,'Annual Budget'!S57,'Annual Budget'!O57,'Annual Budget'!W57))))</f>
        <v>243667</v>
      </c>
      <c r="Y57" s="55">
        <f t="shared" si="30"/>
        <v>243667</v>
      </c>
      <c r="Z57" s="93"/>
      <c r="AA57" s="93"/>
      <c r="AC57" s="51" t="s">
        <v>182</v>
      </c>
    </row>
    <row r="58" spans="1:29" ht="13" x14ac:dyDescent="0.15">
      <c r="A58" s="41"/>
      <c r="B58" s="41" t="s">
        <v>34</v>
      </c>
      <c r="C58" s="40"/>
      <c r="D58" s="53"/>
      <c r="E58" s="54"/>
      <c r="F58" s="53"/>
      <c r="G58" s="53"/>
      <c r="H58" s="53"/>
      <c r="I58" s="55">
        <f t="shared" si="31"/>
        <v>0</v>
      </c>
      <c r="J58" s="53"/>
      <c r="K58" s="53"/>
      <c r="L58" s="53"/>
      <c r="M58" s="55">
        <f t="shared" si="26"/>
        <v>0</v>
      </c>
      <c r="N58" s="53"/>
      <c r="O58" s="53"/>
      <c r="P58" s="53"/>
      <c r="Q58" s="55">
        <f t="shared" si="27"/>
        <v>0</v>
      </c>
      <c r="R58" s="53"/>
      <c r="S58" s="53"/>
      <c r="T58" s="53"/>
      <c r="U58" s="55">
        <f t="shared" si="28"/>
        <v>0</v>
      </c>
      <c r="V58" s="92"/>
      <c r="W58" s="48">
        <f t="shared" si="29"/>
        <v>0</v>
      </c>
      <c r="X58" s="55">
        <f>IF('Cover Sheet'!$A$9=References!$A$3,'Annual Budget'!K58,IF('Cover Sheet'!$A$9=References!$A$4,SUM('Annual Budget'!K58,'Annual Budget'!S58),IF('Cover Sheet'!$A$9=References!$A$5,SUM('Annual Budget'!K58,'Annual Budget'!S58,'Annual Budget'!O58),SUM('Annual Budget'!K58,'Annual Budget'!S58,'Annual Budget'!O58,'Annual Budget'!W58))))</f>
        <v>554004</v>
      </c>
      <c r="Y58" s="55">
        <f t="shared" si="30"/>
        <v>554004</v>
      </c>
      <c r="Z58" s="93"/>
      <c r="AA58" s="93"/>
    </row>
    <row r="59" spans="1:29" ht="13" x14ac:dyDescent="0.15">
      <c r="A59" s="41"/>
      <c r="B59" s="49" t="s">
        <v>35</v>
      </c>
      <c r="C59" s="40"/>
      <c r="D59" s="91">
        <f>SUM(D47:D58)</f>
        <v>0</v>
      </c>
      <c r="E59" s="94"/>
      <c r="F59" s="91">
        <f>SUM(F47:F58)</f>
        <v>0</v>
      </c>
      <c r="G59" s="91">
        <f t="shared" ref="G59:H59" si="32">SUM(G47:G58)</f>
        <v>0</v>
      </c>
      <c r="H59" s="91">
        <f t="shared" si="32"/>
        <v>0</v>
      </c>
      <c r="I59" s="91">
        <f t="shared" si="31"/>
        <v>0</v>
      </c>
      <c r="J59" s="91">
        <f>SUM(J47:J58)</f>
        <v>0</v>
      </c>
      <c r="K59" s="91">
        <f t="shared" ref="K59" si="33">SUM(K47:K58)</f>
        <v>0</v>
      </c>
      <c r="L59" s="91">
        <f t="shared" ref="L59" si="34">SUM(L47:L58)</f>
        <v>0</v>
      </c>
      <c r="M59" s="91">
        <f t="shared" si="26"/>
        <v>0</v>
      </c>
      <c r="N59" s="91">
        <f>SUM(N47:N58)</f>
        <v>0</v>
      </c>
      <c r="O59" s="91">
        <f t="shared" ref="O59" si="35">SUM(O47:O58)</f>
        <v>0</v>
      </c>
      <c r="P59" s="91">
        <f t="shared" ref="P59" si="36">SUM(P47:P58)</f>
        <v>0</v>
      </c>
      <c r="Q59" s="91">
        <f t="shared" si="27"/>
        <v>0</v>
      </c>
      <c r="R59" s="91">
        <f>SUM(R47:R58)</f>
        <v>0</v>
      </c>
      <c r="S59" s="91">
        <f t="shared" ref="S59" si="37">SUM(S47:S58)</f>
        <v>0</v>
      </c>
      <c r="T59" s="91">
        <f t="shared" ref="T59" si="38">SUM(T47:T58)</f>
        <v>0</v>
      </c>
      <c r="U59" s="91">
        <f t="shared" si="28"/>
        <v>0</v>
      </c>
      <c r="V59" s="92"/>
      <c r="W59" s="91">
        <f>SUM(W47:W58)</f>
        <v>0</v>
      </c>
      <c r="X59" s="91">
        <f>SUM(X47:X58)</f>
        <v>2091194</v>
      </c>
      <c r="Y59" s="91">
        <f t="shared" si="30"/>
        <v>2091194</v>
      </c>
      <c r="Z59" s="93"/>
      <c r="AA59" s="93"/>
    </row>
    <row r="60" spans="1:29" ht="13" x14ac:dyDescent="0.15">
      <c r="A60" s="41"/>
      <c r="B60" s="46"/>
      <c r="C60" s="40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2"/>
      <c r="W60" s="94"/>
      <c r="X60" s="94"/>
      <c r="Y60" s="94"/>
      <c r="Z60" s="93"/>
      <c r="AA60" s="93"/>
    </row>
    <row r="61" spans="1:29" ht="13" x14ac:dyDescent="0.15">
      <c r="A61" s="41"/>
      <c r="B61" s="49" t="s">
        <v>165</v>
      </c>
      <c r="C61" s="40"/>
      <c r="D61" s="91">
        <f>D59+D44+D35+D27</f>
        <v>0</v>
      </c>
      <c r="E61" s="94"/>
      <c r="F61" s="91">
        <f t="shared" ref="F61:U61" si="39">F59+F44+F35+F27</f>
        <v>0</v>
      </c>
      <c r="G61" s="91">
        <f t="shared" si="39"/>
        <v>0</v>
      </c>
      <c r="H61" s="91">
        <f t="shared" si="39"/>
        <v>0</v>
      </c>
      <c r="I61" s="91">
        <f t="shared" si="39"/>
        <v>0</v>
      </c>
      <c r="J61" s="91">
        <f t="shared" si="39"/>
        <v>0</v>
      </c>
      <c r="K61" s="91">
        <f t="shared" si="39"/>
        <v>0</v>
      </c>
      <c r="L61" s="91">
        <f t="shared" si="39"/>
        <v>0</v>
      </c>
      <c r="M61" s="91">
        <f t="shared" si="39"/>
        <v>0</v>
      </c>
      <c r="N61" s="91">
        <f t="shared" si="39"/>
        <v>0</v>
      </c>
      <c r="O61" s="91">
        <f t="shared" si="39"/>
        <v>0</v>
      </c>
      <c r="P61" s="91">
        <f t="shared" si="39"/>
        <v>0</v>
      </c>
      <c r="Q61" s="91">
        <f t="shared" si="39"/>
        <v>0</v>
      </c>
      <c r="R61" s="91">
        <f t="shared" si="39"/>
        <v>0</v>
      </c>
      <c r="S61" s="91">
        <f t="shared" si="39"/>
        <v>0</v>
      </c>
      <c r="T61" s="91">
        <f t="shared" si="39"/>
        <v>0</v>
      </c>
      <c r="U61" s="91">
        <f t="shared" si="39"/>
        <v>0</v>
      </c>
      <c r="V61" s="92"/>
      <c r="W61" s="91">
        <f>W59+W44+W35+W27</f>
        <v>0</v>
      </c>
      <c r="X61" s="91">
        <f>X59+X44+X35+X27</f>
        <v>29404356</v>
      </c>
      <c r="Y61" s="91">
        <f t="shared" ref="Y61:Y62" si="40">X61-W61</f>
        <v>29404356</v>
      </c>
      <c r="Z61" s="93"/>
      <c r="AA61" s="93"/>
    </row>
    <row r="62" spans="1:29" ht="12.75" customHeight="1" x14ac:dyDescent="0.15">
      <c r="A62" s="50" t="s">
        <v>166</v>
      </c>
      <c r="B62" s="49"/>
      <c r="C62" s="40"/>
      <c r="D62" s="91">
        <f>D16-D61</f>
        <v>0</v>
      </c>
      <c r="E62" s="94"/>
      <c r="F62" s="91">
        <f t="shared" ref="F62:U62" si="41">F16-F61</f>
        <v>0</v>
      </c>
      <c r="G62" s="91">
        <f t="shared" si="41"/>
        <v>0</v>
      </c>
      <c r="H62" s="91">
        <f t="shared" si="41"/>
        <v>0</v>
      </c>
      <c r="I62" s="91">
        <f t="shared" si="41"/>
        <v>0</v>
      </c>
      <c r="J62" s="91">
        <f t="shared" si="41"/>
        <v>0</v>
      </c>
      <c r="K62" s="91">
        <f t="shared" si="41"/>
        <v>0</v>
      </c>
      <c r="L62" s="91">
        <f t="shared" si="41"/>
        <v>0</v>
      </c>
      <c r="M62" s="91">
        <f t="shared" si="41"/>
        <v>0</v>
      </c>
      <c r="N62" s="91">
        <f t="shared" si="41"/>
        <v>0</v>
      </c>
      <c r="O62" s="91">
        <f t="shared" si="41"/>
        <v>0</v>
      </c>
      <c r="P62" s="91">
        <f t="shared" si="41"/>
        <v>0</v>
      </c>
      <c r="Q62" s="91">
        <f t="shared" si="41"/>
        <v>0</v>
      </c>
      <c r="R62" s="91">
        <f t="shared" si="41"/>
        <v>0</v>
      </c>
      <c r="S62" s="91">
        <f t="shared" si="41"/>
        <v>0</v>
      </c>
      <c r="T62" s="91">
        <f t="shared" si="41"/>
        <v>0</v>
      </c>
      <c r="U62" s="91">
        <f t="shared" si="41"/>
        <v>0</v>
      </c>
      <c r="V62" s="92"/>
      <c r="W62" s="91">
        <f>W16-W61</f>
        <v>0</v>
      </c>
      <c r="X62" s="91">
        <f>X16-X61</f>
        <v>421404</v>
      </c>
      <c r="Y62" s="91">
        <f t="shared" si="40"/>
        <v>421404</v>
      </c>
      <c r="Z62" s="93"/>
      <c r="AA62" s="93"/>
    </row>
    <row r="63" spans="1:29" ht="12.75" customHeight="1" x14ac:dyDescent="0.15">
      <c r="A63" s="50"/>
      <c r="B63" s="46"/>
      <c r="C63" s="40"/>
      <c r="D63" s="97"/>
      <c r="E63" s="94"/>
      <c r="F63" s="97"/>
      <c r="G63" s="97"/>
      <c r="H63" s="97"/>
      <c r="I63" s="94"/>
      <c r="J63" s="97"/>
      <c r="K63" s="97"/>
      <c r="L63" s="97"/>
      <c r="M63" s="94"/>
      <c r="N63" s="97"/>
      <c r="O63" s="97"/>
      <c r="P63" s="97"/>
      <c r="Q63" s="94"/>
      <c r="R63" s="97"/>
      <c r="S63" s="97"/>
      <c r="T63" s="97"/>
      <c r="U63" s="94"/>
      <c r="V63" s="92"/>
      <c r="W63" s="94"/>
      <c r="X63" s="94"/>
      <c r="Y63" s="94"/>
      <c r="Z63" s="93"/>
      <c r="AA63" s="93"/>
    </row>
    <row r="64" spans="1:29" ht="14" thickBot="1" x14ac:dyDescent="0.2">
      <c r="A64" s="50" t="s">
        <v>36</v>
      </c>
      <c r="B64" s="49"/>
      <c r="C64" s="40"/>
      <c r="D64" s="99">
        <f>D62</f>
        <v>0</v>
      </c>
      <c r="E64" s="94"/>
      <c r="F64" s="91">
        <f t="shared" ref="F64:U64" si="42">F62</f>
        <v>0</v>
      </c>
      <c r="G64" s="91">
        <f t="shared" si="42"/>
        <v>0</v>
      </c>
      <c r="H64" s="91">
        <f t="shared" si="42"/>
        <v>0</v>
      </c>
      <c r="I64" s="99">
        <f t="shared" si="42"/>
        <v>0</v>
      </c>
      <c r="J64" s="99">
        <f t="shared" si="42"/>
        <v>0</v>
      </c>
      <c r="K64" s="99">
        <f t="shared" si="42"/>
        <v>0</v>
      </c>
      <c r="L64" s="99">
        <f t="shared" si="42"/>
        <v>0</v>
      </c>
      <c r="M64" s="99">
        <f t="shared" si="42"/>
        <v>0</v>
      </c>
      <c r="N64" s="99">
        <f t="shared" si="42"/>
        <v>0</v>
      </c>
      <c r="O64" s="99">
        <f t="shared" si="42"/>
        <v>0</v>
      </c>
      <c r="P64" s="99">
        <f t="shared" si="42"/>
        <v>0</v>
      </c>
      <c r="Q64" s="99">
        <f t="shared" si="42"/>
        <v>0</v>
      </c>
      <c r="R64" s="99">
        <f t="shared" si="42"/>
        <v>0</v>
      </c>
      <c r="S64" s="99">
        <f t="shared" si="42"/>
        <v>0</v>
      </c>
      <c r="T64" s="99">
        <f t="shared" si="42"/>
        <v>0</v>
      </c>
      <c r="U64" s="99">
        <f t="shared" si="42"/>
        <v>0</v>
      </c>
      <c r="V64" s="92"/>
      <c r="W64" s="99">
        <f>W62</f>
        <v>0</v>
      </c>
      <c r="X64" s="99">
        <f>X62</f>
        <v>421404</v>
      </c>
      <c r="Y64" s="99">
        <f t="shared" ref="Y64" si="43">X64-W64</f>
        <v>421404</v>
      </c>
      <c r="Z64" s="93"/>
      <c r="AA64" s="93"/>
    </row>
    <row r="65" spans="1:27" ht="12.75" customHeight="1" thickTop="1" x14ac:dyDescent="0.15">
      <c r="D65" s="93"/>
      <c r="E65" s="54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</row>
    <row r="66" spans="1:27" ht="12.75" customHeight="1" x14ac:dyDescent="0.15">
      <c r="A66" s="46" t="s">
        <v>129</v>
      </c>
      <c r="D66" s="93"/>
      <c r="E66" s="54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</row>
    <row r="67" spans="1:27" ht="12.75" customHeight="1" x14ac:dyDescent="0.15">
      <c r="B67" s="38" t="s">
        <v>130</v>
      </c>
      <c r="D67" s="53"/>
      <c r="E67" s="54"/>
      <c r="F67" s="53"/>
      <c r="G67" s="53"/>
      <c r="H67" s="53"/>
      <c r="I67" s="55">
        <f t="shared" ref="I67:I69" si="44">SUM(F67:H67)</f>
        <v>0</v>
      </c>
      <c r="J67" s="53"/>
      <c r="K67" s="53"/>
      <c r="L67" s="53"/>
      <c r="M67" s="55">
        <f t="shared" ref="M67:M70" si="45">SUM(J67:L67)</f>
        <v>0</v>
      </c>
      <c r="N67" s="53"/>
      <c r="O67" s="53"/>
      <c r="P67" s="53"/>
      <c r="Q67" s="55">
        <f t="shared" ref="Q67:Q70" si="46">SUM(N67:P67)</f>
        <v>0</v>
      </c>
      <c r="R67" s="53"/>
      <c r="S67" s="53"/>
      <c r="T67" s="53"/>
      <c r="U67" s="55">
        <f t="shared" ref="U67:U70" si="47">SUM(R67:T67)</f>
        <v>0</v>
      </c>
      <c r="V67" s="93"/>
      <c r="W67" s="93"/>
      <c r="X67" s="93"/>
      <c r="Y67" s="93"/>
      <c r="Z67" s="93"/>
      <c r="AA67" s="93"/>
    </row>
    <row r="68" spans="1:27" ht="12.75" customHeight="1" x14ac:dyDescent="0.15">
      <c r="B68" s="38" t="s">
        <v>131</v>
      </c>
      <c r="D68" s="53"/>
      <c r="E68" s="54"/>
      <c r="F68" s="53"/>
      <c r="G68" s="53"/>
      <c r="H68" s="53"/>
      <c r="I68" s="55">
        <f t="shared" si="44"/>
        <v>0</v>
      </c>
      <c r="J68" s="53"/>
      <c r="K68" s="53"/>
      <c r="L68" s="53"/>
      <c r="M68" s="55">
        <f t="shared" si="45"/>
        <v>0</v>
      </c>
      <c r="N68" s="53"/>
      <c r="O68" s="53"/>
      <c r="P68" s="53"/>
      <c r="Q68" s="55">
        <f t="shared" si="46"/>
        <v>0</v>
      </c>
      <c r="R68" s="53"/>
      <c r="S68" s="53"/>
      <c r="T68" s="53"/>
      <c r="U68" s="55">
        <f t="shared" si="47"/>
        <v>0</v>
      </c>
      <c r="V68" s="93"/>
      <c r="W68" s="93"/>
      <c r="X68" s="93"/>
      <c r="Y68" s="93"/>
      <c r="Z68" s="93"/>
      <c r="AA68" s="93"/>
    </row>
    <row r="69" spans="1:27" ht="12.75" customHeight="1" x14ac:dyDescent="0.15">
      <c r="B69" s="38" t="s">
        <v>132</v>
      </c>
      <c r="D69" s="53"/>
      <c r="E69" s="54"/>
      <c r="F69" s="53"/>
      <c r="G69" s="53"/>
      <c r="H69" s="53"/>
      <c r="I69" s="55">
        <f t="shared" si="44"/>
        <v>0</v>
      </c>
      <c r="J69" s="53"/>
      <c r="K69" s="53"/>
      <c r="L69" s="53"/>
      <c r="M69" s="55">
        <f t="shared" si="45"/>
        <v>0</v>
      </c>
      <c r="N69" s="53"/>
      <c r="O69" s="53"/>
      <c r="P69" s="53"/>
      <c r="Q69" s="55">
        <f t="shared" si="46"/>
        <v>0</v>
      </c>
      <c r="R69" s="53"/>
      <c r="S69" s="53"/>
      <c r="T69" s="53"/>
      <c r="U69" s="55">
        <f t="shared" si="47"/>
        <v>0</v>
      </c>
      <c r="V69" s="93"/>
      <c r="W69" s="93"/>
      <c r="X69" s="93"/>
      <c r="Y69" s="93"/>
      <c r="Z69" s="93"/>
      <c r="AA69" s="93"/>
    </row>
    <row r="70" spans="1:27" ht="12.75" customHeight="1" x14ac:dyDescent="0.15">
      <c r="A70" s="51" t="s">
        <v>133</v>
      </c>
      <c r="D70" s="93">
        <f>SUM(D67:D69,D64)</f>
        <v>0</v>
      </c>
      <c r="E70" s="54"/>
      <c r="F70" s="93">
        <f>SUM(F67:F69,F64)</f>
        <v>0</v>
      </c>
      <c r="G70" s="93">
        <f>SUM(G67:G69,G64)</f>
        <v>0</v>
      </c>
      <c r="H70" s="93">
        <f>SUM(H67:H69,H64)</f>
        <v>0</v>
      </c>
      <c r="I70" s="55">
        <f>SUM(F70:H70)</f>
        <v>0</v>
      </c>
      <c r="J70" s="93">
        <f t="shared" ref="J70:L70" si="48">SUM(J67:J69,J64)</f>
        <v>0</v>
      </c>
      <c r="K70" s="93">
        <f t="shared" si="48"/>
        <v>0</v>
      </c>
      <c r="L70" s="93">
        <f t="shared" si="48"/>
        <v>0</v>
      </c>
      <c r="M70" s="55">
        <f t="shared" si="45"/>
        <v>0</v>
      </c>
      <c r="N70" s="93">
        <f t="shared" ref="N70" si="49">SUM(N67:N69,N64)</f>
        <v>0</v>
      </c>
      <c r="O70" s="93">
        <f t="shared" ref="O70" si="50">SUM(O67:O69,O64)</f>
        <v>0</v>
      </c>
      <c r="P70" s="93">
        <f t="shared" ref="P70" si="51">SUM(P67:P69,P64)</f>
        <v>0</v>
      </c>
      <c r="Q70" s="55">
        <f t="shared" si="46"/>
        <v>0</v>
      </c>
      <c r="R70" s="93">
        <f t="shared" ref="R70" si="52">SUM(R67:R69,R64)</f>
        <v>0</v>
      </c>
      <c r="S70" s="93">
        <f t="shared" ref="S70" si="53">SUM(S67:S69,S64)</f>
        <v>0</v>
      </c>
      <c r="T70" s="93">
        <f t="shared" ref="T70" si="54">SUM(T67:T69,T64)</f>
        <v>0</v>
      </c>
      <c r="U70" s="55">
        <f t="shared" si="47"/>
        <v>0</v>
      </c>
      <c r="V70" s="93"/>
      <c r="W70" s="93"/>
      <c r="X70" s="93"/>
      <c r="Y70" s="93"/>
      <c r="Z70" s="93"/>
      <c r="AA70" s="93"/>
    </row>
    <row r="71" spans="1:27" ht="12.75" customHeight="1" x14ac:dyDescent="0.15">
      <c r="D71" s="93"/>
      <c r="E71" s="54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</row>
    <row r="72" spans="1:27" ht="12.75" customHeight="1" x14ac:dyDescent="0.15">
      <c r="D72" s="93"/>
      <c r="E72" s="54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</row>
    <row r="73" spans="1:27" ht="12.75" customHeight="1" x14ac:dyDescent="0.15">
      <c r="D73" s="93"/>
      <c r="E73" s="54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</row>
    <row r="74" spans="1:27" ht="12.75" customHeight="1" x14ac:dyDescent="0.15">
      <c r="D74" s="93"/>
      <c r="E74" s="5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</row>
    <row r="75" spans="1:27" ht="12.75" customHeight="1" x14ac:dyDescent="0.15">
      <c r="D75" s="93"/>
      <c r="E75" s="54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</row>
    <row r="76" spans="1:27" ht="12.75" customHeight="1" x14ac:dyDescent="0.15">
      <c r="D76" s="93"/>
      <c r="E76" s="54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</row>
    <row r="77" spans="1:27" ht="12.75" customHeight="1" x14ac:dyDescent="0.15">
      <c r="D77" s="93"/>
      <c r="E77" s="54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</row>
    <row r="78" spans="1:27" ht="12.75" customHeight="1" x14ac:dyDescent="0.15">
      <c r="D78" s="93"/>
      <c r="E78" s="54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</row>
    <row r="79" spans="1:27" ht="12.75" customHeight="1" x14ac:dyDescent="0.15">
      <c r="D79" s="93"/>
      <c r="E79" s="54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</row>
    <row r="80" spans="1:27" ht="12.75" customHeight="1" x14ac:dyDescent="0.15">
      <c r="D80" s="93"/>
      <c r="E80" s="54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</row>
    <row r="81" spans="4:27" ht="12.75" customHeight="1" x14ac:dyDescent="0.15">
      <c r="D81" s="93"/>
      <c r="E81" s="54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4:27" ht="12.75" customHeight="1" x14ac:dyDescent="0.15">
      <c r="D82" s="93"/>
      <c r="E82" s="54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</row>
    <row r="83" spans="4:27" ht="12.75" customHeight="1" x14ac:dyDescent="0.15">
      <c r="D83" s="93"/>
      <c r="E83" s="54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</row>
    <row r="84" spans="4:27" ht="12.75" customHeight="1" x14ac:dyDescent="0.15">
      <c r="D84" s="93"/>
      <c r="E84" s="54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</row>
    <row r="85" spans="4:27" ht="12.75" customHeight="1" x14ac:dyDescent="0.15">
      <c r="D85" s="93"/>
      <c r="E85" s="54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</row>
    <row r="86" spans="4:27" ht="12.75" customHeight="1" x14ac:dyDescent="0.15">
      <c r="D86" s="93"/>
      <c r="E86" s="54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</row>
    <row r="87" spans="4:27" ht="12.75" customHeight="1" x14ac:dyDescent="0.15">
      <c r="D87" s="93"/>
      <c r="E87" s="54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</row>
    <row r="88" spans="4:27" ht="12.75" customHeight="1" x14ac:dyDescent="0.15">
      <c r="D88" s="93"/>
      <c r="E88" s="54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</row>
    <row r="89" spans="4:27" ht="12.75" customHeight="1" x14ac:dyDescent="0.15">
      <c r="D89" s="93"/>
      <c r="E89" s="54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</row>
    <row r="90" spans="4:27" ht="12.75" customHeight="1" x14ac:dyDescent="0.15">
      <c r="D90" s="93"/>
      <c r="E90" s="54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</row>
    <row r="91" spans="4:27" ht="12.75" customHeight="1" x14ac:dyDescent="0.15">
      <c r="D91" s="93"/>
      <c r="E91" s="54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</row>
    <row r="92" spans="4:27" ht="12.75" customHeight="1" x14ac:dyDescent="0.15">
      <c r="D92" s="93"/>
      <c r="E92" s="54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</row>
    <row r="93" spans="4:27" ht="12.75" customHeight="1" x14ac:dyDescent="0.15">
      <c r="D93" s="93"/>
      <c r="E93" s="54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</row>
    <row r="94" spans="4:27" ht="12.75" customHeight="1" x14ac:dyDescent="0.15">
      <c r="D94" s="93"/>
      <c r="E94" s="54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</row>
    <row r="95" spans="4:27" ht="12.75" customHeight="1" x14ac:dyDescent="0.15">
      <c r="D95" s="93"/>
      <c r="E95" s="54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</row>
    <row r="96" spans="4:27" ht="12.75" customHeight="1" x14ac:dyDescent="0.15">
      <c r="D96" s="93"/>
      <c r="E96" s="54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</row>
    <row r="97" spans="4:27" ht="12.75" customHeight="1" x14ac:dyDescent="0.15">
      <c r="D97" s="93"/>
      <c r="E97" s="54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</row>
    <row r="98" spans="4:27" ht="12.75" customHeight="1" x14ac:dyDescent="0.15">
      <c r="D98" s="93"/>
      <c r="E98" s="54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</row>
    <row r="99" spans="4:27" ht="12.75" customHeight="1" x14ac:dyDescent="0.15">
      <c r="D99" s="93"/>
      <c r="E99" s="54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</row>
    <row r="100" spans="4:27" ht="12.75" customHeight="1" x14ac:dyDescent="0.15">
      <c r="D100" s="93"/>
      <c r="E100" s="54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</row>
    <row r="101" spans="4:27" ht="12.75" customHeight="1" x14ac:dyDescent="0.15">
      <c r="D101" s="93"/>
      <c r="E101" s="54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</row>
    <row r="102" spans="4:27" ht="12.75" customHeight="1" x14ac:dyDescent="0.15">
      <c r="D102" s="93"/>
      <c r="E102" s="54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</row>
  </sheetData>
  <phoneticPr fontId="66" type="noConversion"/>
  <pageMargins left="0.75" right="0.35" top="0.5" bottom="0.5" header="0.5" footer="0.5"/>
  <pageSetup scale="55" orientation="landscape" horizontalDpi="300" verticalDpi="300"/>
  <headerFooter alignWithMargins="0">
    <oddHeader xml:space="preserve">&amp;C&amp;"Arial,Bold"&amp;11
</oddHeader>
    <oddFooter>&amp;RPage &amp;P of &amp;N</oddFooter>
  </headerFooter>
  <ignoredErrors>
    <ignoredError sqref="I16:Q68 I70:Q7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M54"/>
  <sheetViews>
    <sheetView showGridLines="0" zoomScaleNormal="100" zoomScaleSheetLayoutView="100" workbookViewId="0">
      <selection activeCell="M47" sqref="M47"/>
    </sheetView>
  </sheetViews>
  <sheetFormatPr baseColWidth="10" defaultColWidth="9.1640625" defaultRowHeight="13" x14ac:dyDescent="0.15"/>
  <cols>
    <col min="1" max="1" width="2" style="58" customWidth="1"/>
    <col min="2" max="2" width="9.1640625" style="58"/>
    <col min="3" max="3" width="20.1640625" style="58" customWidth="1"/>
    <col min="4" max="4" width="12.33203125" style="58" customWidth="1"/>
    <col min="5" max="5" width="11.33203125" style="58" customWidth="1"/>
    <col min="6" max="6" width="9.1640625" style="58"/>
    <col min="7" max="7" width="19.6640625" style="58" customWidth="1"/>
    <col min="8" max="8" width="20" style="58" customWidth="1"/>
    <col min="9" max="9" width="25.1640625" style="58" customWidth="1"/>
    <col min="10" max="10" width="27" style="58" customWidth="1"/>
    <col min="11" max="16384" width="9.1640625" style="58"/>
  </cols>
  <sheetData>
    <row r="1" spans="1:13" x14ac:dyDescent="0.15">
      <c r="A1" s="57" t="str">
        <f>'Cover Sheet'!A2</f>
        <v>Center City Public Charter Schools</v>
      </c>
    </row>
    <row r="2" spans="1:13" x14ac:dyDescent="0.15">
      <c r="A2" s="38" t="str">
        <f>'Cover Sheet'!A8&amp;" "&amp;'Cover Sheet'!$A$9&amp;" Balance Sheet"</f>
        <v>FY2019 Enter Period Balance Sheet</v>
      </c>
    </row>
    <row r="3" spans="1:13" x14ac:dyDescent="0.15">
      <c r="B3" s="114"/>
      <c r="C3" s="114"/>
      <c r="D3" s="114"/>
      <c r="E3" s="114"/>
      <c r="F3" s="114"/>
      <c r="G3" s="114"/>
      <c r="H3" s="64"/>
      <c r="I3" s="64"/>
      <c r="J3" s="64"/>
    </row>
    <row r="4" spans="1:13" x14ac:dyDescent="0.15">
      <c r="B4" s="64"/>
      <c r="C4" s="64"/>
      <c r="D4" s="64"/>
      <c r="E4" s="65" t="s">
        <v>113</v>
      </c>
      <c r="F4" s="66"/>
      <c r="G4" s="65" t="s">
        <v>82</v>
      </c>
      <c r="H4" s="65" t="s">
        <v>83</v>
      </c>
      <c r="I4" s="65" t="s">
        <v>84</v>
      </c>
      <c r="J4" s="65" t="s">
        <v>85</v>
      </c>
    </row>
    <row r="5" spans="1:13" ht="17" thickBot="1" x14ac:dyDescent="0.2">
      <c r="B5" s="64"/>
      <c r="C5" s="64"/>
      <c r="D5" s="64"/>
      <c r="E5" s="67" t="s">
        <v>149</v>
      </c>
      <c r="F5" s="68"/>
      <c r="G5" s="67" t="s">
        <v>86</v>
      </c>
      <c r="H5" s="67" t="s">
        <v>87</v>
      </c>
      <c r="I5" s="67" t="s">
        <v>88</v>
      </c>
      <c r="J5" s="67" t="s">
        <v>89</v>
      </c>
      <c r="M5" s="86" t="s">
        <v>173</v>
      </c>
    </row>
    <row r="6" spans="1:13" x14ac:dyDescent="0.15">
      <c r="A6" s="77" t="s">
        <v>90</v>
      </c>
      <c r="B6" s="69"/>
      <c r="C6" s="69"/>
      <c r="E6" s="70"/>
      <c r="F6" s="68"/>
      <c r="G6" s="70"/>
      <c r="H6" s="70"/>
      <c r="I6" s="70"/>
      <c r="J6" s="70"/>
    </row>
    <row r="7" spans="1:13" x14ac:dyDescent="0.15">
      <c r="B7" s="64"/>
      <c r="C7" s="64"/>
      <c r="D7" s="64"/>
      <c r="E7" s="64"/>
      <c r="F7" s="64"/>
      <c r="G7" s="64"/>
      <c r="H7" s="64"/>
      <c r="I7" s="64"/>
      <c r="J7" s="64"/>
    </row>
    <row r="8" spans="1:13" x14ac:dyDescent="0.15">
      <c r="B8" s="75" t="s">
        <v>123</v>
      </c>
      <c r="C8" s="71"/>
      <c r="D8" s="69"/>
      <c r="E8" s="72"/>
      <c r="F8" s="72"/>
      <c r="G8" s="73"/>
      <c r="H8" s="73"/>
      <c r="I8" s="73"/>
      <c r="J8" s="73"/>
    </row>
    <row r="9" spans="1:13" x14ac:dyDescent="0.15">
      <c r="B9" s="78" t="s">
        <v>91</v>
      </c>
      <c r="D9" s="74"/>
      <c r="E9" s="53">
        <v>0</v>
      </c>
      <c r="F9" s="103"/>
      <c r="G9" s="53">
        <v>0</v>
      </c>
      <c r="H9" s="53">
        <v>0</v>
      </c>
      <c r="I9" s="53">
        <v>0</v>
      </c>
      <c r="J9" s="53">
        <v>0</v>
      </c>
      <c r="M9" s="57" t="s">
        <v>183</v>
      </c>
    </row>
    <row r="10" spans="1:13" x14ac:dyDescent="0.15">
      <c r="B10" s="78" t="s">
        <v>92</v>
      </c>
      <c r="D10" s="74"/>
      <c r="E10" s="53">
        <v>0</v>
      </c>
      <c r="F10" s="104"/>
      <c r="G10" s="53">
        <v>0</v>
      </c>
      <c r="H10" s="53">
        <v>0</v>
      </c>
      <c r="I10" s="53">
        <v>0</v>
      </c>
      <c r="J10" s="53">
        <v>0</v>
      </c>
    </row>
    <row r="11" spans="1:13" x14ac:dyDescent="0.15">
      <c r="B11" s="78" t="s">
        <v>110</v>
      </c>
      <c r="D11" s="74"/>
      <c r="E11" s="53">
        <v>0</v>
      </c>
      <c r="F11" s="104"/>
      <c r="G11" s="53">
        <v>0</v>
      </c>
      <c r="H11" s="53">
        <v>0</v>
      </c>
      <c r="I11" s="53">
        <v>0</v>
      </c>
      <c r="J11" s="53">
        <v>0</v>
      </c>
    </row>
    <row r="12" spans="1:13" x14ac:dyDescent="0.15">
      <c r="B12" s="78" t="s">
        <v>109</v>
      </c>
      <c r="D12" s="74"/>
      <c r="E12" s="53">
        <v>0</v>
      </c>
      <c r="F12" s="103"/>
      <c r="G12" s="53">
        <v>0</v>
      </c>
      <c r="H12" s="53">
        <v>0</v>
      </c>
      <c r="I12" s="53">
        <v>0</v>
      </c>
      <c r="J12" s="53">
        <v>0</v>
      </c>
    </row>
    <row r="13" spans="1:13" x14ac:dyDescent="0.15">
      <c r="B13" s="75" t="s">
        <v>93</v>
      </c>
      <c r="E13" s="103">
        <f>SUM(E9:E12)</f>
        <v>0</v>
      </c>
      <c r="F13" s="103"/>
      <c r="G13" s="103">
        <f>SUM(G9:G12)</f>
        <v>0</v>
      </c>
      <c r="H13" s="103">
        <f>SUM(H9:H12)</f>
        <v>0</v>
      </c>
      <c r="I13" s="103">
        <f>SUM(I9:I12)</f>
        <v>0</v>
      </c>
      <c r="J13" s="103">
        <f>SUM(J9:J12)</f>
        <v>0</v>
      </c>
    </row>
    <row r="14" spans="1:13" x14ac:dyDescent="0.15">
      <c r="B14" s="64"/>
      <c r="C14" s="64"/>
      <c r="D14" s="64"/>
      <c r="E14" s="104"/>
      <c r="F14" s="104"/>
      <c r="G14" s="104"/>
      <c r="H14" s="104"/>
      <c r="I14" s="104"/>
      <c r="J14" s="104"/>
    </row>
    <row r="15" spans="1:13" x14ac:dyDescent="0.15">
      <c r="B15" s="77" t="s">
        <v>94</v>
      </c>
      <c r="C15" s="74"/>
      <c r="D15" s="74"/>
      <c r="E15" s="53">
        <v>0</v>
      </c>
      <c r="F15" s="103"/>
      <c r="G15" s="53">
        <v>0</v>
      </c>
      <c r="H15" s="53">
        <v>0</v>
      </c>
      <c r="I15" s="53">
        <v>0</v>
      </c>
      <c r="J15" s="53">
        <v>0</v>
      </c>
    </row>
    <row r="16" spans="1:13" x14ac:dyDescent="0.15">
      <c r="B16" s="64"/>
      <c r="C16" s="64"/>
      <c r="D16" s="64"/>
      <c r="E16" s="104"/>
      <c r="F16" s="104"/>
      <c r="G16" s="104"/>
      <c r="H16" s="104"/>
      <c r="I16" s="104"/>
      <c r="J16" s="104"/>
    </row>
    <row r="17" spans="1:13" x14ac:dyDescent="0.15">
      <c r="B17" s="77" t="s">
        <v>95</v>
      </c>
      <c r="C17" s="74"/>
      <c r="D17" s="74"/>
      <c r="E17" s="53">
        <v>0</v>
      </c>
      <c r="F17" s="103"/>
      <c r="G17" s="53">
        <v>0</v>
      </c>
      <c r="H17" s="53">
        <v>0</v>
      </c>
      <c r="I17" s="53">
        <v>0</v>
      </c>
      <c r="J17" s="53">
        <v>0</v>
      </c>
      <c r="M17" s="57" t="s">
        <v>174</v>
      </c>
    </row>
    <row r="18" spans="1:13" x14ac:dyDescent="0.15">
      <c r="B18" s="64"/>
      <c r="C18" s="64"/>
      <c r="D18" s="64"/>
      <c r="E18" s="104"/>
      <c r="F18" s="104"/>
      <c r="G18" s="104"/>
      <c r="H18" s="104"/>
      <c r="I18" s="104"/>
      <c r="J18" s="104"/>
    </row>
    <row r="19" spans="1:13" ht="14" thickBot="1" x14ac:dyDescent="0.2">
      <c r="A19" s="75" t="s">
        <v>96</v>
      </c>
      <c r="B19" s="64"/>
      <c r="C19" s="74"/>
      <c r="E19" s="105">
        <f>E13+E15+E17</f>
        <v>0</v>
      </c>
      <c r="F19" s="104"/>
      <c r="G19" s="105">
        <f>G13+G15+G17</f>
        <v>0</v>
      </c>
      <c r="H19" s="105">
        <f>H13+H15+H17</f>
        <v>0</v>
      </c>
      <c r="I19" s="105">
        <f>I13+I15+I17</f>
        <v>0</v>
      </c>
      <c r="J19" s="105">
        <f>J13+J15+J17</f>
        <v>0</v>
      </c>
    </row>
    <row r="20" spans="1:13" ht="14" thickTop="1" x14ac:dyDescent="0.15">
      <c r="B20" s="64"/>
      <c r="C20" s="64"/>
      <c r="D20" s="64"/>
      <c r="E20" s="104"/>
      <c r="F20" s="104"/>
      <c r="G20" s="104"/>
      <c r="H20" s="104"/>
      <c r="I20" s="104"/>
      <c r="J20" s="104"/>
    </row>
    <row r="21" spans="1:13" ht="15" customHeight="1" x14ac:dyDescent="0.15">
      <c r="A21" s="77" t="s">
        <v>97</v>
      </c>
      <c r="B21" s="69"/>
      <c r="C21" s="69"/>
      <c r="E21" s="106"/>
      <c r="F21" s="106"/>
      <c r="G21" s="106"/>
      <c r="H21" s="106"/>
      <c r="I21" s="106"/>
      <c r="J21" s="106"/>
    </row>
    <row r="22" spans="1:13" x14ac:dyDescent="0.15">
      <c r="B22" s="64"/>
      <c r="C22" s="64"/>
      <c r="D22" s="64"/>
      <c r="E22" s="104"/>
      <c r="F22" s="104"/>
      <c r="G22" s="104"/>
      <c r="H22" s="104"/>
      <c r="I22" s="104"/>
      <c r="J22" s="104"/>
    </row>
    <row r="23" spans="1:13" x14ac:dyDescent="0.15">
      <c r="B23" s="75" t="s">
        <v>124</v>
      </c>
      <c r="C23" s="76"/>
      <c r="D23" s="76"/>
      <c r="E23" s="103"/>
      <c r="F23" s="103"/>
      <c r="G23" s="103"/>
      <c r="H23" s="103"/>
      <c r="I23" s="103"/>
      <c r="J23" s="103"/>
    </row>
    <row r="24" spans="1:13" x14ac:dyDescent="0.15">
      <c r="B24" s="78" t="s">
        <v>99</v>
      </c>
      <c r="D24" s="74"/>
      <c r="E24" s="53">
        <v>0</v>
      </c>
      <c r="F24" s="103"/>
      <c r="G24" s="53">
        <v>0</v>
      </c>
      <c r="H24" s="53">
        <v>0</v>
      </c>
      <c r="I24" s="53">
        <v>0</v>
      </c>
      <c r="J24" s="53">
        <v>0</v>
      </c>
    </row>
    <row r="25" spans="1:13" x14ac:dyDescent="0.15">
      <c r="B25" s="78" t="s">
        <v>98</v>
      </c>
      <c r="D25" s="74"/>
      <c r="E25" s="53">
        <v>0</v>
      </c>
      <c r="F25" s="103"/>
      <c r="G25" s="53">
        <v>0</v>
      </c>
      <c r="H25" s="53">
        <v>0</v>
      </c>
      <c r="I25" s="53">
        <v>0</v>
      </c>
      <c r="J25" s="53">
        <v>0</v>
      </c>
    </row>
    <row r="26" spans="1:13" x14ac:dyDescent="0.15">
      <c r="B26" s="78" t="s">
        <v>106</v>
      </c>
      <c r="D26" s="74"/>
      <c r="E26" s="53">
        <v>0</v>
      </c>
      <c r="F26" s="103"/>
      <c r="G26" s="53">
        <v>0</v>
      </c>
      <c r="H26" s="53">
        <v>0</v>
      </c>
      <c r="I26" s="53">
        <v>0</v>
      </c>
      <c r="J26" s="53">
        <v>0</v>
      </c>
    </row>
    <row r="27" spans="1:13" x14ac:dyDescent="0.15">
      <c r="B27" s="78" t="s">
        <v>178</v>
      </c>
      <c r="D27" s="74"/>
      <c r="E27" s="53">
        <v>0</v>
      </c>
      <c r="F27" s="103"/>
      <c r="G27" s="53">
        <v>0</v>
      </c>
      <c r="H27" s="53">
        <v>0</v>
      </c>
      <c r="I27" s="53">
        <v>0</v>
      </c>
      <c r="J27" s="53">
        <v>0</v>
      </c>
    </row>
    <row r="28" spans="1:13" x14ac:dyDescent="0.15">
      <c r="B28" s="78" t="s">
        <v>108</v>
      </c>
      <c r="D28" s="74"/>
      <c r="E28" s="53">
        <v>0</v>
      </c>
      <c r="F28" s="103"/>
      <c r="G28" s="53">
        <v>0</v>
      </c>
      <c r="H28" s="53">
        <v>0</v>
      </c>
      <c r="I28" s="53">
        <v>0</v>
      </c>
      <c r="J28" s="53">
        <v>0</v>
      </c>
    </row>
    <row r="29" spans="1:13" x14ac:dyDescent="0.15">
      <c r="B29" s="75" t="s">
        <v>100</v>
      </c>
      <c r="E29" s="103">
        <f>SUM(E24:E28)</f>
        <v>0</v>
      </c>
      <c r="F29" s="103"/>
      <c r="G29" s="103">
        <f t="shared" ref="G29:J29" si="0">SUM(G24:G28)</f>
        <v>0</v>
      </c>
      <c r="H29" s="103">
        <f t="shared" si="0"/>
        <v>0</v>
      </c>
      <c r="I29" s="103">
        <f t="shared" si="0"/>
        <v>0</v>
      </c>
      <c r="J29" s="103">
        <f t="shared" si="0"/>
        <v>0</v>
      </c>
    </row>
    <row r="30" spans="1:13" x14ac:dyDescent="0.15">
      <c r="B30" s="75"/>
      <c r="E30" s="103"/>
      <c r="F30" s="103"/>
      <c r="G30" s="103"/>
      <c r="H30" s="103"/>
      <c r="I30" s="103"/>
      <c r="J30" s="103"/>
    </row>
    <row r="31" spans="1:13" x14ac:dyDescent="0.15">
      <c r="B31" s="77" t="s">
        <v>125</v>
      </c>
      <c r="C31" s="64"/>
      <c r="D31" s="64"/>
      <c r="E31" s="104"/>
      <c r="F31" s="104"/>
      <c r="G31" s="104"/>
      <c r="H31" s="104"/>
      <c r="I31" s="104"/>
      <c r="J31" s="104"/>
    </row>
    <row r="32" spans="1:13" x14ac:dyDescent="0.15">
      <c r="B32" s="78" t="s">
        <v>126</v>
      </c>
      <c r="D32" s="64"/>
      <c r="E32" s="53">
        <v>0</v>
      </c>
      <c r="F32" s="103"/>
      <c r="G32" s="53">
        <v>0</v>
      </c>
      <c r="H32" s="53">
        <v>0</v>
      </c>
      <c r="I32" s="53">
        <v>0</v>
      </c>
      <c r="J32" s="53">
        <v>0</v>
      </c>
    </row>
    <row r="33" spans="1:13" x14ac:dyDescent="0.15">
      <c r="B33" s="78" t="s">
        <v>127</v>
      </c>
      <c r="D33" s="64"/>
      <c r="E33" s="53">
        <v>0</v>
      </c>
      <c r="F33" s="103"/>
      <c r="G33" s="53">
        <v>0</v>
      </c>
      <c r="H33" s="53">
        <v>0</v>
      </c>
      <c r="I33" s="53">
        <v>0</v>
      </c>
      <c r="J33" s="53">
        <v>0</v>
      </c>
      <c r="M33" s="57" t="s">
        <v>175</v>
      </c>
    </row>
    <row r="34" spans="1:13" x14ac:dyDescent="0.15">
      <c r="B34" s="75" t="s">
        <v>107</v>
      </c>
      <c r="D34" s="74"/>
      <c r="E34" s="103">
        <f>SUM(E32:E33)</f>
        <v>0</v>
      </c>
      <c r="F34" s="103"/>
      <c r="G34" s="103">
        <f t="shared" ref="G34:J34" si="1">SUM(G32:G33)</f>
        <v>0</v>
      </c>
      <c r="H34" s="103">
        <f t="shared" si="1"/>
        <v>0</v>
      </c>
      <c r="I34" s="103">
        <f t="shared" si="1"/>
        <v>0</v>
      </c>
      <c r="J34" s="103">
        <f t="shared" si="1"/>
        <v>0</v>
      </c>
    </row>
    <row r="35" spans="1:13" x14ac:dyDescent="0.15">
      <c r="B35" s="64"/>
      <c r="C35" s="64"/>
      <c r="D35" s="64"/>
      <c r="E35" s="104"/>
      <c r="F35" s="104"/>
      <c r="G35" s="104"/>
      <c r="H35" s="104"/>
      <c r="I35" s="104"/>
      <c r="J35" s="104"/>
    </row>
    <row r="36" spans="1:13" ht="16" x14ac:dyDescent="0.3">
      <c r="B36" s="75" t="s">
        <v>101</v>
      </c>
      <c r="C36" s="64"/>
      <c r="E36" s="107">
        <f>E29+E34</f>
        <v>0</v>
      </c>
      <c r="F36" s="106"/>
      <c r="G36" s="107">
        <f>G29+G34</f>
        <v>0</v>
      </c>
      <c r="H36" s="107">
        <f>H29+H34</f>
        <v>0</v>
      </c>
      <c r="I36" s="107">
        <f>I29+I34</f>
        <v>0</v>
      </c>
      <c r="J36" s="107">
        <f>J29+J34</f>
        <v>0</v>
      </c>
    </row>
    <row r="37" spans="1:13" x14ac:dyDescent="0.15">
      <c r="B37" s="64"/>
      <c r="C37" s="64"/>
      <c r="D37" s="64"/>
      <c r="E37" s="104"/>
      <c r="F37" s="104"/>
      <c r="G37" s="104"/>
      <c r="H37" s="104"/>
      <c r="I37" s="104"/>
      <c r="J37" s="104"/>
    </row>
    <row r="38" spans="1:13" x14ac:dyDescent="0.15">
      <c r="B38" s="79" t="s">
        <v>128</v>
      </c>
      <c r="C38" s="76"/>
      <c r="D38" s="76"/>
      <c r="E38" s="103"/>
      <c r="F38" s="103"/>
      <c r="G38" s="106"/>
      <c r="H38" s="106"/>
      <c r="I38" s="106"/>
      <c r="J38" s="106"/>
    </row>
    <row r="39" spans="1:13" x14ac:dyDescent="0.15">
      <c r="B39" s="78" t="s">
        <v>102</v>
      </c>
      <c r="D39" s="76"/>
      <c r="E39" s="53">
        <v>0</v>
      </c>
      <c r="F39" s="103"/>
      <c r="G39" s="53">
        <v>0</v>
      </c>
      <c r="H39" s="53">
        <v>0</v>
      </c>
      <c r="I39" s="53">
        <v>0</v>
      </c>
      <c r="J39" s="53">
        <v>0</v>
      </c>
    </row>
    <row r="40" spans="1:13" x14ac:dyDescent="0.15">
      <c r="B40" s="78" t="s">
        <v>103</v>
      </c>
      <c r="D40" s="76"/>
      <c r="E40" s="53">
        <v>0</v>
      </c>
      <c r="F40" s="103"/>
      <c r="G40" s="53">
        <v>0</v>
      </c>
      <c r="H40" s="53">
        <v>0</v>
      </c>
      <c r="I40" s="53">
        <v>0</v>
      </c>
      <c r="J40" s="53">
        <v>0</v>
      </c>
    </row>
    <row r="41" spans="1:13" x14ac:dyDescent="0.15">
      <c r="B41" s="78" t="s">
        <v>134</v>
      </c>
      <c r="D41" s="76"/>
      <c r="E41" s="80">
        <v>0</v>
      </c>
      <c r="F41" s="103"/>
      <c r="G41" s="80">
        <v>0</v>
      </c>
      <c r="H41" s="80">
        <v>0</v>
      </c>
      <c r="I41" s="80">
        <v>0</v>
      </c>
      <c r="J41" s="80">
        <v>0</v>
      </c>
    </row>
    <row r="42" spans="1:13" ht="16" x14ac:dyDescent="0.3">
      <c r="B42" s="75" t="s">
        <v>104</v>
      </c>
      <c r="C42" s="74"/>
      <c r="E42" s="108">
        <f>SUM(E39:E41)</f>
        <v>0</v>
      </c>
      <c r="F42" s="103"/>
      <c r="G42" s="108">
        <f>SUM(G39:G41)</f>
        <v>0</v>
      </c>
      <c r="H42" s="108">
        <f>SUM(H39:H41)</f>
        <v>0</v>
      </c>
      <c r="I42" s="108">
        <f>SUM(I39:I41)</f>
        <v>0</v>
      </c>
      <c r="J42" s="108">
        <f>SUM(J39:J41)</f>
        <v>0</v>
      </c>
    </row>
    <row r="43" spans="1:13" x14ac:dyDescent="0.15">
      <c r="B43" s="64"/>
      <c r="C43" s="64"/>
      <c r="D43" s="64"/>
      <c r="E43" s="104"/>
      <c r="F43" s="104"/>
      <c r="G43" s="104"/>
      <c r="H43" s="104"/>
      <c r="I43" s="104"/>
      <c r="J43" s="104"/>
    </row>
    <row r="44" spans="1:13" ht="14" thickBot="1" x14ac:dyDescent="0.2">
      <c r="A44" s="75" t="s">
        <v>105</v>
      </c>
      <c r="B44" s="64"/>
      <c r="C44" s="74"/>
      <c r="E44" s="109">
        <f>E36+E42</f>
        <v>0</v>
      </c>
      <c r="F44" s="103"/>
      <c r="G44" s="109">
        <f>G36+G42</f>
        <v>0</v>
      </c>
      <c r="H44" s="109">
        <f>H36+H42</f>
        <v>0</v>
      </c>
      <c r="I44" s="109">
        <f>I36+I42</f>
        <v>0</v>
      </c>
      <c r="J44" s="109">
        <f>J36+J42</f>
        <v>0</v>
      </c>
    </row>
    <row r="45" spans="1:13" ht="14" thickTop="1" x14ac:dyDescent="0.15">
      <c r="B45" s="64"/>
      <c r="C45" s="74"/>
      <c r="D45" s="76"/>
      <c r="E45" s="103"/>
      <c r="F45" s="103"/>
      <c r="G45" s="106"/>
      <c r="H45" s="106"/>
      <c r="I45" s="106"/>
      <c r="J45" s="106"/>
    </row>
    <row r="46" spans="1:13" x14ac:dyDescent="0.15">
      <c r="E46" s="110"/>
      <c r="F46" s="110"/>
      <c r="G46" s="110"/>
      <c r="H46" s="110"/>
      <c r="I46" s="110"/>
      <c r="J46" s="110"/>
    </row>
    <row r="47" spans="1:13" x14ac:dyDescent="0.15">
      <c r="E47" s="110"/>
      <c r="F47" s="110"/>
      <c r="G47" s="110"/>
      <c r="H47" s="110"/>
      <c r="I47" s="110"/>
      <c r="J47" s="110"/>
    </row>
    <row r="48" spans="1:13" x14ac:dyDescent="0.15">
      <c r="E48" s="110"/>
      <c r="F48" s="110"/>
      <c r="G48" s="110"/>
      <c r="H48" s="110"/>
      <c r="I48" s="110"/>
      <c r="J48" s="110"/>
    </row>
    <row r="49" spans="5:10" x14ac:dyDescent="0.15">
      <c r="E49" s="110"/>
      <c r="F49" s="110"/>
      <c r="G49" s="110"/>
      <c r="H49" s="110"/>
      <c r="I49" s="110"/>
      <c r="J49" s="110"/>
    </row>
    <row r="50" spans="5:10" x14ac:dyDescent="0.15">
      <c r="E50" s="110"/>
      <c r="F50" s="110"/>
      <c r="G50" s="110"/>
      <c r="H50" s="110"/>
      <c r="I50" s="110"/>
      <c r="J50" s="110"/>
    </row>
    <row r="51" spans="5:10" x14ac:dyDescent="0.15">
      <c r="E51" s="110"/>
      <c r="F51" s="110"/>
      <c r="G51" s="110"/>
      <c r="H51" s="110"/>
      <c r="I51" s="110"/>
      <c r="J51" s="110"/>
    </row>
    <row r="52" spans="5:10" x14ac:dyDescent="0.15">
      <c r="E52" s="110"/>
      <c r="F52" s="110"/>
      <c r="G52" s="110"/>
      <c r="H52" s="110"/>
      <c r="I52" s="110"/>
      <c r="J52" s="110"/>
    </row>
    <row r="53" spans="5:10" x14ac:dyDescent="0.15">
      <c r="E53" s="110"/>
      <c r="F53" s="110"/>
      <c r="G53" s="110"/>
      <c r="H53" s="110"/>
      <c r="I53" s="110"/>
      <c r="J53" s="110"/>
    </row>
    <row r="54" spans="5:10" x14ac:dyDescent="0.15">
      <c r="E54" s="110"/>
      <c r="F54" s="110"/>
      <c r="G54" s="110"/>
      <c r="H54" s="110"/>
      <c r="I54" s="110"/>
      <c r="J54" s="110"/>
    </row>
  </sheetData>
  <mergeCells count="1">
    <mergeCell ref="B3:G3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6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6.1640625" bestFit="1" customWidth="1"/>
  </cols>
  <sheetData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Enrollment</vt:lpstr>
      <vt:lpstr>Annual Budget</vt:lpstr>
      <vt:lpstr>Statement of Activites</vt:lpstr>
      <vt:lpstr>Statement of Financial Position</vt:lpstr>
      <vt:lpstr>References</vt:lpstr>
      <vt:lpstr>'Annual Budget'!Print_Area</vt:lpstr>
      <vt:lpstr>'Cover Sheet'!Print_Area</vt:lpstr>
      <vt:lpstr>'Statement of Activites'!Print_Area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Loi</cp:lastModifiedBy>
  <cp:lastPrinted>2016-11-10T20:34:43Z</cp:lastPrinted>
  <dcterms:created xsi:type="dcterms:W3CDTF">2015-03-09T19:17:40Z</dcterms:created>
  <dcterms:modified xsi:type="dcterms:W3CDTF">2018-05-23T15:32:01Z</dcterms:modified>
</cp:coreProperties>
</file>